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4"/>
  </bookViews>
  <sheets>
    <sheet name="ส่งออก ก.พ.61" sheetId="1" r:id="rId1"/>
    <sheet name="นำเข้า ก.พ.61" sheetId="2" r:id="rId2"/>
    <sheet name="นำเข้า 10 อันดับ" sheetId="3" r:id="rId3"/>
    <sheet name=" ผ่านแดน ก.พ.61" sheetId="4" r:id="rId4"/>
    <sheet name="ผ่านแดน 10 อันดับ" sheetId="5" r:id="rId5"/>
  </sheets>
  <definedNames/>
  <calcPr fullCalcOnLoad="1"/>
</workbook>
</file>

<file path=xl/sharedStrings.xml><?xml version="1.0" encoding="utf-8"?>
<sst xmlns="http://schemas.openxmlformats.org/spreadsheetml/2006/main" count="473" uniqueCount="232">
  <si>
    <t>รวมทั้งหมด</t>
  </si>
  <si>
    <t>อื่นๆ</t>
  </si>
  <si>
    <t>รวม</t>
  </si>
  <si>
    <t>มูลค่า (ล้านบาท)</t>
  </si>
  <si>
    <t>น้ำหนัก (ตัน)</t>
  </si>
  <si>
    <t>พิกัด</t>
  </si>
  <si>
    <t>ชนิดสินค้า</t>
  </si>
  <si>
    <t>ลำดับที่</t>
  </si>
  <si>
    <t xml:space="preserve">สินค้าส่งออกสูงสุด  10  อันดับ </t>
  </si>
  <si>
    <t>ด่านศุลกากรช่องเม็ก</t>
  </si>
  <si>
    <t>รวมทั้งสิ้น</t>
  </si>
  <si>
    <t>กาแฟสำเร็จรูป</t>
  </si>
  <si>
    <t>สินค้าส่งออก ด่านศุลกากรช่องเม็ก</t>
  </si>
  <si>
    <t>สินค้า</t>
  </si>
  <si>
    <t>น้ำหนัก</t>
  </si>
  <si>
    <t>ปริมาณ</t>
  </si>
  <si>
    <t>หน่วย</t>
  </si>
  <si>
    <t>มูลค่า</t>
  </si>
  <si>
    <t>ปีงบประมาณ 2561</t>
  </si>
  <si>
    <t xml:space="preserve">มูลค่าสินค้าผ่านแดนสูงสุด  10  อันดับ 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</si>
  <si>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</si>
  <si>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</si>
  <si>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</si>
  <si>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</si>
  <si>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รวมสินค้าผ่านแดนขาเข้า 10 อันดับ</t>
  </si>
  <si>
    <t>รวมสินค้าผ่านแดนขาออก 10 อันดับ</t>
  </si>
  <si>
    <t>น้ำหนัก (กก.)</t>
  </si>
  <si>
    <t>ผ่านแดนขาออก</t>
  </si>
  <si>
    <t>บุหรี่</t>
  </si>
  <si>
    <t>ลำโพง</t>
  </si>
  <si>
    <t>ผ่านแดนขาเข้า</t>
  </si>
  <si>
    <t>ชิ้นส่วนเฟอร์นิเจอร์ไม้ดู่</t>
  </si>
  <si>
    <t>เมล็ดกาแฟดิบ</t>
  </si>
  <si>
    <t>ข้าวเหนียว</t>
  </si>
  <si>
    <t>หม้อแปลงไฟฟ้า</t>
  </si>
  <si>
    <t>85043199</t>
  </si>
  <si>
    <t xml:space="preserve">            รวมทั้งสิ้น</t>
  </si>
  <si>
    <t>อุปกรณ์ไฟฟ้า</t>
  </si>
  <si>
    <t xml:space="preserve">3,107.184
</t>
  </si>
  <si>
    <t>แป้งมันสำปะหลัง</t>
  </si>
  <si>
    <t>ชิ้นส่วนเฟอร์นิเจอร์ไม้ดู่,ไม้สัก</t>
  </si>
  <si>
    <t>ข้าวสาร</t>
  </si>
  <si>
    <t>ข้าวสาร (เหนียว)</t>
  </si>
  <si>
    <t>สมุนไพร</t>
  </si>
  <si>
    <t>เฟอร์นิเจอร์ไม้สัก</t>
  </si>
  <si>
    <t>ไม้สัก,ประดู่สำเร็จรูป</t>
  </si>
  <si>
    <t>ชุดสูททำจากผ้าฝ้าย,ผ้าสำหรับห้องครัว</t>
  </si>
  <si>
    <t>ไม้ยางสำเร็จรูป</t>
  </si>
  <si>
    <t>เฟอร์นิเจอร์ไม้ดู่</t>
  </si>
  <si>
    <t>ยา</t>
  </si>
  <si>
    <t>มอลต์</t>
  </si>
  <si>
    <t>ลูกอม,ขนมขบเคี้ยว</t>
  </si>
  <si>
    <t>ชุดอุปกรณ์เพื่อความปลอดภัย</t>
  </si>
  <si>
    <t>กล่องลวดตาข่ายพร้อมลวดสังกะสี</t>
  </si>
  <si>
    <t>อะไหล่รถจักรยานยนต์</t>
  </si>
  <si>
    <t>ใยหิน</t>
  </si>
  <si>
    <t>ยารักษาโรค</t>
  </si>
  <si>
    <t>ชุดเก้าอี้ทำฟันพร้อมอุปกรณ์</t>
  </si>
  <si>
    <t>น้ำยาผสมคอนกรีตทั่วไป</t>
  </si>
  <si>
    <t>กล่องลวดตาข่ายพร้อมลวด</t>
  </si>
  <si>
    <t>อะลูมิเนียมฟอยด์</t>
  </si>
  <si>
    <t>ยางรถยนต์</t>
  </si>
  <si>
    <t>ส่วนประกอบหม้อแปลงไฟฟ้า</t>
  </si>
  <si>
    <t>ลำโพงและอุปกรณ์สำหรับโทรทัศน์</t>
  </si>
  <si>
    <t>กระสอบสำหรับบรรจุเมล็ดกาแฟ</t>
  </si>
  <si>
    <t>เฟอร์นิเจอร์</t>
  </si>
  <si>
    <t>ชุดอุปกรณ์ที่ใช้ทางหลอดเลือดดำ</t>
  </si>
  <si>
    <t>ปลากระป๋อง</t>
  </si>
  <si>
    <t>ฉลาก</t>
  </si>
  <si>
    <t>เครื่องสูบน้ำ,เครื่องทำความสะอาด,พัดลม</t>
  </si>
  <si>
    <t>แทร็กเตอร์ที่ใช้ในการเกษตร</t>
  </si>
  <si>
    <t>เมล็ดพลาสติก</t>
  </si>
  <si>
    <t>กระเบื้อง</t>
  </si>
  <si>
    <t>เครื่องปรับอากาศ</t>
  </si>
  <si>
    <t>รีเอเจนต์ในห้องปฏิบัติการ</t>
  </si>
  <si>
    <t>อุปกรณ์หลักนำกระแสไฟฟ้า</t>
  </si>
  <si>
    <t>ลำโพง,อุปกรณ์โทรทัศน์</t>
  </si>
  <si>
    <t>กล่องลวดตาข่าย</t>
  </si>
  <si>
    <t>อุปกรณ์สำหรับผลิตหม้อแปลงไฟฟ้า</t>
  </si>
  <si>
    <t>อุปกรณ์เครื่องมือแพทย์</t>
  </si>
  <si>
    <t>ชุดอุปกรณ์สำหรับปลูกกาแฟ</t>
  </si>
  <si>
    <t>เบียร์</t>
  </si>
  <si>
    <t>แผ่นใยสังเคราะห์</t>
  </si>
  <si>
    <t>เข็มฉีดยา</t>
  </si>
  <si>
    <t>เครื่องควบคุมระบบน้ำเสีย</t>
  </si>
  <si>
    <t>ท่อเหล็ก</t>
  </si>
  <si>
    <t>เครื่องจักรสำหรับเชื่อมโดยใช้ไฟฟ้า</t>
  </si>
  <si>
    <t>ผลิตภัณฑ์ยา</t>
  </si>
  <si>
    <t>ปีงบประมาณ 2560   เดือน กุมภาพันธ์ 2561</t>
  </si>
  <si>
    <t>บัตเตอร์ฟลายวาส์วพร้อมส่วนประกอบ</t>
  </si>
  <si>
    <t>61041920</t>
  </si>
  <si>
    <t>44072999</t>
  </si>
  <si>
    <t xml:space="preserve">                       จำนวนใบขนผ่านแดนเข้า  62 ใบขน</t>
  </si>
  <si>
    <t xml:space="preserve">                       จำนวนใบขนผ่านแดนเข้า 62 ใบขน</t>
  </si>
  <si>
    <t xml:space="preserve">                         มูลค่าสินค้าผ่านแดน จาก ประเทศที่สามไป สปป.ลาว</t>
  </si>
  <si>
    <t>ปีงบประมาณ 2561   (เดือนตุลาคม - กุมภาพันธ์  2561)</t>
  </si>
  <si>
    <t>ประจำเดือน          กุมภาพันธ์  2561</t>
  </si>
  <si>
    <t>น้ำมันเชื้อเพลิง</t>
  </si>
  <si>
    <t>C62</t>
  </si>
  <si>
    <t>KGM</t>
  </si>
  <si>
    <t>LTR</t>
  </si>
  <si>
    <t>PA</t>
  </si>
  <si>
    <t>TNE</t>
  </si>
  <si>
    <t>MTK</t>
  </si>
  <si>
    <t>กระเบื้องลอนคู่</t>
  </si>
  <si>
    <t>น้ำอัดลม</t>
  </si>
  <si>
    <t>กระเบื้องซิเมนต์สำหรับมุงหลังคา</t>
  </si>
  <si>
    <t xml:space="preserve"> เครื่องดื่ม เอ็ม 150</t>
  </si>
  <si>
    <t>ลูกอม</t>
  </si>
  <si>
    <t>เหล็กข้ออ้อย</t>
  </si>
  <si>
    <t>น้ำชาเขียว</t>
  </si>
  <si>
    <t>แบตเตอรี่ สำหรับรถยนต์</t>
  </si>
  <si>
    <t xml:space="preserve">ผงชูรส </t>
  </si>
  <si>
    <t xml:space="preserve">ถุงหิ้วพลาสติก </t>
  </si>
  <si>
    <t>ยางมะตอย</t>
  </si>
  <si>
    <t>กะทิกล่องยูเอชที</t>
  </si>
  <si>
    <t xml:space="preserve">อาหารสัตว์ผสมสำเร็จรูปชนิดเม็ด </t>
  </si>
  <si>
    <t>รถยนต์นั่งเก๋งพร้อมเครื่องปรับอากาศเครื่องยนต์เบนซิน</t>
  </si>
  <si>
    <t>เครื่องยนต์ดีเซล RT90 Plus</t>
  </si>
  <si>
    <t>ผ้าอนามัย</t>
  </si>
  <si>
    <t>น้ำตาลทรายขาวธรรมดา</t>
  </si>
  <si>
    <t>เครื่องดื่มปรุงสำเร็จ B&amp;B  27 ซอง</t>
  </si>
  <si>
    <t>กระเบื้องสามลอนใช้สำหรับมุงหลังคา</t>
  </si>
  <si>
    <t>ผงซักฟอก</t>
  </si>
  <si>
    <t>ระแนง และเชิงชายAS PER INVOICE</t>
  </si>
  <si>
    <t xml:space="preserve">แป้งสาลี </t>
  </si>
  <si>
    <t xml:space="preserve">ปุ๋ยเคมี ตราหัววัว - คันไถ </t>
  </si>
  <si>
    <t>น้ำนมถั่วเหลือง ยูเอชที</t>
  </si>
  <si>
    <t>ปูนซีเมนต์แดง</t>
  </si>
  <si>
    <t>กระเบื้องเซรามิคสำหรับปูพื้นบุผนัง</t>
  </si>
  <si>
    <t>มงกุฎ</t>
  </si>
  <si>
    <t xml:space="preserve">ซอสปรุงอาหาร </t>
  </si>
  <si>
    <t>รถยนต์นั่งที่มีกระบะใหม่เครื่องยนต์ดีเซล</t>
  </si>
  <si>
    <t>เหล็กคอล์ย</t>
  </si>
  <si>
    <t xml:space="preserve">ครีมเทียมข้นหวาน </t>
  </si>
  <si>
    <t>แฟนคอยล์</t>
  </si>
  <si>
    <t>กาแฟกระป๋องเบอร์ดี้</t>
  </si>
  <si>
    <t>เครื่องยนต์ยันม่าร์, คูโบต้า</t>
  </si>
  <si>
    <t>ถุงพลาสติก</t>
  </si>
  <si>
    <t>เครื่องยนต์</t>
  </si>
  <si>
    <t>น้ำหวาน เฮลลูบอย</t>
  </si>
  <si>
    <t>เครื่องฟอกอากาศ</t>
  </si>
  <si>
    <t>รถยนต์นั่งสำเร็จรูป</t>
  </si>
  <si>
    <t>รถแทรคเตอร์และรถไถนา</t>
  </si>
  <si>
    <t>ฝาพลาสติก,หลอดพลาสติก,กระสอบพลาสติก</t>
  </si>
  <si>
    <t>ผลิตภัณฑ์บำรุงผิวหน้าผสมสารป้องกันแสงแดด</t>
  </si>
  <si>
    <t xml:space="preserve">ขนมเค้ก บิสกิตและขนมจำพวกเบเกอรี่อื่น ๆ </t>
  </si>
  <si>
    <t>ส่วนประกอบของรองเท้าทำด้วยพลาสติก</t>
  </si>
  <si>
    <t>หลอดหรือท่อ และโพรไฟล์กลวงอื่น ๆ</t>
  </si>
  <si>
    <t>นมกล่อง ตรา หนองโพ</t>
  </si>
  <si>
    <t xml:space="preserve">รถยนต์นั่งที่มีกระบะ </t>
  </si>
  <si>
    <t>ขนมลลูกอม,ข้าวโพดอบเนย</t>
  </si>
  <si>
    <t>รถยนต์นั่งใหม่สำเร็จรูป</t>
  </si>
  <si>
    <t>ขนมอบกรอบ,เวเฟอร์</t>
  </si>
  <si>
    <t>ของใช้บรรจุทำด้วยพลาสติก</t>
  </si>
  <si>
    <t>อาหารปรุงแต่ง,เครื่องดื่มบำรุงกำลัง</t>
  </si>
  <si>
    <t>น้ำผลไม้,ชาเขียว</t>
  </si>
  <si>
    <t>อาหารสัตว์</t>
  </si>
  <si>
    <t>ผงชูรส</t>
  </si>
  <si>
    <t>ปีงบประมาณ 2561   (เดือน  กุมภาพันธ์ 2561)</t>
  </si>
  <si>
    <t>Pa</t>
  </si>
  <si>
    <t>ปีงบประมาณ 2561   เดือน   กุมภาพันธ์ 2561</t>
  </si>
  <si>
    <t>จำนวนใบขนผ่านแดนออก  68 ใบขน</t>
  </si>
  <si>
    <t xml:space="preserve">                                 จำนวนใบขนผ่านแดนออก  68 ใบขน</t>
  </si>
  <si>
    <t>มูลค่า(ล้านบาท)</t>
  </si>
  <si>
    <t>สินค้านำเข้าด่านศุลกากรช่องเม็ก</t>
  </si>
  <si>
    <t>นำเข้าจาก สปป.ลาว</t>
  </si>
  <si>
    <t>ประจำเดือน  กุมภาพันธ์  2561</t>
  </si>
  <si>
    <t>พิกัดศุลกากร</t>
  </si>
  <si>
    <t>น้ำหนัก(ก.ก.)</t>
  </si>
  <si>
    <t>หน่วยของสินค้า</t>
  </si>
  <si>
    <t>ราคา(บาท)</t>
  </si>
  <si>
    <t>อากรขาเข้า(บาท)</t>
  </si>
  <si>
    <t>ภาษีมูลค่าเพิ่ม(บาท)</t>
  </si>
  <si>
    <t>หมายเหตุ</t>
  </si>
  <si>
    <t>07141011</t>
  </si>
  <si>
    <t>มันสำประหลัง(มันเส้น)</t>
  </si>
  <si>
    <t>พลังงานไฟฟ้า</t>
  </si>
  <si>
    <t>KWH</t>
  </si>
  <si>
    <t>08109060</t>
  </si>
  <si>
    <t>มะขามเปียก</t>
  </si>
  <si>
    <t>07141099</t>
  </si>
  <si>
    <t>มันสำประหลัง(มันหัว)</t>
  </si>
  <si>
    <t>กาแฟสำเร็จรูป 3in1</t>
  </si>
  <si>
    <t>90283090</t>
  </si>
  <si>
    <t>อุปกรณ์ทดสอบความเที่ยงตรงของเครื่องวัดไฟฟ้า</t>
  </si>
  <si>
    <t>*</t>
  </si>
  <si>
    <t>84212940</t>
  </si>
  <si>
    <t>เครื่องกรองน้ำมันเชื้อเพลิง</t>
  </si>
  <si>
    <t>09012110</t>
  </si>
  <si>
    <t>กาแฟคั่วไม่บด</t>
  </si>
  <si>
    <t>85364990</t>
  </si>
  <si>
    <t>รีเลย์</t>
  </si>
  <si>
    <t>07049010</t>
  </si>
  <si>
    <t>กะหล่ำปลี</t>
  </si>
  <si>
    <t>ไม้ลาวแปรรูป</t>
  </si>
  <si>
    <t>MTQ</t>
  </si>
  <si>
    <t>84159045</t>
  </si>
  <si>
    <t>เครื่องไล่ความชื้น</t>
  </si>
  <si>
    <t>90261020</t>
  </si>
  <si>
    <t>เกจวัดระดับสำหรับยานยนต์ ที่ไม่ใช้ไฟฟ้า</t>
  </si>
  <si>
    <t>12119097</t>
  </si>
  <si>
    <t>เปลือกไม้บง</t>
  </si>
  <si>
    <t>44072998</t>
  </si>
  <si>
    <t xml:space="preserve">ไม้อื่นๆประสาน(ที่ไสขัดหรือต่อปลาย) </t>
  </si>
  <si>
    <t>20098999</t>
  </si>
  <si>
    <t>เนื้อเสาวรสแช่แข็ง</t>
  </si>
  <si>
    <t>47079000</t>
  </si>
  <si>
    <t>เศษและของที่ใช้ไม่ได้ ซึ่งไม่ได้คัดแยก</t>
  </si>
  <si>
    <t>67041900</t>
  </si>
  <si>
    <t>วิกผมปลอมทำด้วยไฟเบอร์100%</t>
  </si>
  <si>
    <t>***</t>
  </si>
  <si>
    <t>90302000</t>
  </si>
  <si>
    <t>อุปกรณ์สำหรับวัดหรือตรวจสอบ แรงดัน กระแส ความต้านทาน หรือกำลังไฟฟ้า</t>
  </si>
  <si>
    <t>-</t>
  </si>
  <si>
    <t>อื่น ๆ</t>
  </si>
  <si>
    <t>หมายเหตุ  1) * ใบสุทธินำกลับ เก่าใช้แล้ว    ** I-EAT FREE ZONE   *** คลังทัณฑ์บน</t>
  </si>
  <si>
    <t xml:space="preserve">            </t>
  </si>
  <si>
    <t xml:space="preserve">    2) ข้อมูลอ้างอิงจากรายงานสารสนเทศศุลกากร</t>
  </si>
  <si>
    <t>นำเข้าจากประเทศกัมพูชา</t>
  </si>
  <si>
    <t>หมายเหตุ  1) ข้อมูลอ้างอิงจากรายงานสารสนเทศศุลกากร</t>
  </si>
  <si>
    <t>มูลค่าสินค้านำเข้าสูงสุด  10  อันดับ</t>
  </si>
  <si>
    <t>ประจำปีงบประมาณ  2561 (ตุลาคม - กุมภาพันธ์ 2561)</t>
  </si>
  <si>
    <t>น้ำหนัก/ตัน</t>
  </si>
  <si>
    <t>มูลค่า/ล้านบาท</t>
  </si>
  <si>
    <t>มันสำปะหลัง(มันเส้น)</t>
  </si>
  <si>
    <t>มันสำปะหลัง(มันหัว)</t>
  </si>
  <si>
    <t>มันเทศ</t>
  </si>
  <si>
    <t>กาแฟคั่ว</t>
  </si>
  <si>
    <t xml:space="preserve">หมายเหตุ </t>
  </si>
  <si>
    <t>1) * ใบสุทธินำกลับ เก่าใช้แล้ว</t>
  </si>
  <si>
    <t>2) ข้อมูลอ้างอิงจากรายงานสารสนเทศศุลกากร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</si>
</sst>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#,##0.000"/>
    <numFmt numFmtId="188" formatCode="_-* #,##0.00_-;\-* #,##0.00_-;_-* &quot;-&quot;??_-;_-@_-"/>
    <numFmt numFmtId="189" formatCode="#,##0.00;[Red]#,##0.00"/>
    <numFmt numFmtId="190" formatCode="#,##0.000000"/>
    <numFmt numFmtId="191" formatCode="0000"/>
    <numFmt numFmtId="192" formatCode="_-* #,##0.000_-;\-* #,##0.000_-;_-* &quot;-&quot;???_-;_-@_-"/>
    <numFmt numFmtId="193" formatCode="_-* #,##0.000_-;\-* #,##0.000_-;_-* &quot;-&quot;??_-;_-@_-"/>
    <numFmt numFmtId="194" formatCode="0.000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8"/>
      <name val="TH SarabunPSK"/>
      <family val="2"/>
    </font>
    <font>
      <b/>
      <sz val="20"/>
      <color indexed="8"/>
      <name val="TH SarabunPSK"/>
      <family val="2"/>
    </font>
    <font>
      <b/>
      <sz val="22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0"/>
      <color indexed="8"/>
      <name val="Arial"/>
      <family val="2"/>
    </font>
    <font>
      <sz val="18"/>
      <color indexed="1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3.5"/>
      <color indexed="8"/>
      <name val="TH SarabunPSK"/>
      <family val="2"/>
    </font>
    <font>
      <u val="single"/>
      <sz val="11"/>
      <color indexed="30"/>
      <name val="Tahoma"/>
      <family val="2"/>
    </font>
    <font>
      <sz val="18"/>
      <color indexed="63"/>
      <name val="TH SarabunPSK"/>
      <family val="2"/>
    </font>
    <font>
      <sz val="18"/>
      <name val="TH SarabunPSK"/>
      <family val="2"/>
    </font>
    <font>
      <b/>
      <sz val="20"/>
      <name val="TH SarabunPSK"/>
      <family val="2"/>
    </font>
    <font>
      <sz val="10"/>
      <name val="Leelawadee UI"/>
      <family val="2"/>
    </font>
    <font>
      <sz val="9"/>
      <name val="Leelawadee UI"/>
      <family val="2"/>
    </font>
    <font>
      <sz val="12"/>
      <name val="TH SarabunPSK"/>
      <family val="2"/>
    </font>
    <font>
      <sz val="16"/>
      <color indexed="10"/>
      <name val="TH SarabunPSK"/>
      <family val="2"/>
    </font>
    <font>
      <u val="single"/>
      <sz val="11"/>
      <color indexed="25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3.5"/>
      <color rgb="FF000000"/>
      <name val="TH SarabunPSK"/>
      <family val="2"/>
    </font>
    <font>
      <b/>
      <sz val="20"/>
      <color theme="1"/>
      <name val="TH SarabunPSK"/>
      <family val="2"/>
    </font>
    <font>
      <sz val="18"/>
      <color rgb="FF222222"/>
      <name val="TH SarabunPSK"/>
      <family val="2"/>
    </font>
    <font>
      <b/>
      <sz val="18"/>
      <color theme="1"/>
      <name val="TH SarabunPSK"/>
      <family val="2"/>
    </font>
    <font>
      <sz val="16"/>
      <color rgb="FFFF0000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thin"/>
      <top style="medium"/>
      <bottom style="medium"/>
    </border>
    <border>
      <left/>
      <right/>
      <top style="medium"/>
      <bottom style="medium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9" fontId="0" fillId="0" borderId="0" applyFont="0" applyFill="0" applyBorder="0" applyAlignment="0" applyProtection="0"/>
    <xf numFmtId="0" fontId="50" fillId="21" borderId="0" applyNumberFormat="0" applyBorder="0" applyAlignment="0" applyProtection="0"/>
    <xf numFmtId="0" fontId="51" fillId="22" borderId="3" applyNumberFormat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7" fillId="24" borderId="4" applyNumberFormat="0" applyAlignment="0" applyProtection="0"/>
    <xf numFmtId="0" fontId="58" fillId="25" borderId="0" applyNumberFormat="0" applyBorder="0" applyAlignment="0" applyProtection="0"/>
    <xf numFmtId="0" fontId="5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74">
    <xf numFmtId="0" fontId="0" fillId="0" borderId="0" xfId="0" applyFont="1" applyAlignment="1">
      <alignment/>
    </xf>
    <xf numFmtId="0" fontId="2" fillId="0" borderId="0" xfId="55" applyFont="1">
      <alignment/>
      <protection/>
    </xf>
    <xf numFmtId="187" fontId="2" fillId="0" borderId="0" xfId="55" applyNumberFormat="1" applyFont="1">
      <alignment/>
      <protection/>
    </xf>
    <xf numFmtId="0" fontId="2" fillId="0" borderId="0" xfId="55" applyFont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Continuous" vertical="center" wrapText="1"/>
      <protection/>
    </xf>
    <xf numFmtId="0" fontId="5" fillId="33" borderId="12" xfId="55" applyFont="1" applyFill="1" applyBorder="1" applyAlignment="1">
      <alignment horizontal="center"/>
      <protection/>
    </xf>
    <xf numFmtId="0" fontId="5" fillId="33" borderId="13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Continuous"/>
      <protection/>
    </xf>
    <xf numFmtId="187" fontId="3" fillId="0" borderId="10" xfId="55" applyNumberFormat="1" applyFont="1" applyBorder="1" applyAlignment="1">
      <alignment horizontal="right"/>
      <protection/>
    </xf>
    <xf numFmtId="0" fontId="5" fillId="0" borderId="10" xfId="55" applyFont="1" applyBorder="1" applyAlignment="1">
      <alignment horizontal="center"/>
      <protection/>
    </xf>
    <xf numFmtId="0" fontId="5" fillId="0" borderId="10" xfId="55" applyFont="1" applyFill="1" applyBorder="1" applyAlignment="1">
      <alignment horizontal="centerContinuous"/>
      <protection/>
    </xf>
    <xf numFmtId="187" fontId="3" fillId="0" borderId="10" xfId="55" applyNumberFormat="1" applyFont="1" applyFill="1" applyBorder="1" applyAlignment="1">
      <alignment horizontal="right"/>
      <protection/>
    </xf>
    <xf numFmtId="0" fontId="4" fillId="0" borderId="10" xfId="55" applyFont="1" applyFill="1" applyBorder="1" applyAlignment="1">
      <alignment horizontal="centerContinuous"/>
      <protection/>
    </xf>
    <xf numFmtId="187" fontId="2" fillId="0" borderId="10" xfId="55" applyNumberFormat="1" applyFont="1" applyBorder="1" applyAlignment="1">
      <alignment horizontal="right"/>
      <protection/>
    </xf>
    <xf numFmtId="0" fontId="6" fillId="0" borderId="14" xfId="70" applyNumberFormat="1" applyFont="1" applyFill="1" applyBorder="1" applyAlignment="1" applyProtection="1">
      <alignment horizontal="center"/>
      <protection/>
    </xf>
    <xf numFmtId="0" fontId="63" fillId="34" borderId="10" xfId="0" applyFont="1" applyFill="1" applyBorder="1" applyAlignment="1">
      <alignment horizontal="left" vertical="top" wrapText="1"/>
    </xf>
    <xf numFmtId="0" fontId="2" fillId="0" borderId="10" xfId="71" applyFont="1" applyFill="1" applyBorder="1" applyAlignment="1">
      <alignment wrapText="1"/>
      <protection/>
    </xf>
    <xf numFmtId="187" fontId="64" fillId="0" borderId="0" xfId="55" applyNumberFormat="1" applyFont="1">
      <alignment/>
      <protection/>
    </xf>
    <xf numFmtId="0" fontId="2" fillId="0" borderId="15" xfId="55" applyFont="1" applyBorder="1" applyAlignment="1">
      <alignment horizontal="center"/>
      <protection/>
    </xf>
    <xf numFmtId="0" fontId="2" fillId="0" borderId="16" xfId="55" applyFont="1" applyBorder="1">
      <alignment/>
      <protection/>
    </xf>
    <xf numFmtId="0" fontId="2" fillId="0" borderId="16" xfId="55" applyFont="1" applyBorder="1" applyAlignment="1">
      <alignment horizontal="center"/>
      <protection/>
    </xf>
    <xf numFmtId="0" fontId="2" fillId="0" borderId="10" xfId="55" applyFont="1" applyBorder="1">
      <alignment/>
      <protection/>
    </xf>
    <xf numFmtId="0" fontId="2" fillId="0" borderId="17" xfId="55" applyFont="1" applyBorder="1">
      <alignment/>
      <protection/>
    </xf>
    <xf numFmtId="0" fontId="7" fillId="0" borderId="0" xfId="55" applyFont="1" applyBorder="1">
      <alignment/>
      <protection/>
    </xf>
    <xf numFmtId="0" fontId="7" fillId="0" borderId="0" xfId="55" applyFont="1">
      <alignment/>
      <protection/>
    </xf>
    <xf numFmtId="0" fontId="6" fillId="0" borderId="0" xfId="55" applyFont="1" applyBorder="1" applyAlignment="1">
      <alignment horizontal="center"/>
      <protection/>
    </xf>
    <xf numFmtId="0" fontId="12" fillId="35" borderId="18" xfId="55" applyFont="1" applyFill="1" applyBorder="1" applyAlignment="1">
      <alignment horizontal="center" vertical="center"/>
      <protection/>
    </xf>
    <xf numFmtId="0" fontId="12" fillId="0" borderId="0" xfId="55" applyFont="1" applyBorder="1">
      <alignment/>
      <protection/>
    </xf>
    <xf numFmtId="0" fontId="12" fillId="0" borderId="0" xfId="55" applyFont="1">
      <alignment/>
      <protection/>
    </xf>
    <xf numFmtId="0" fontId="12" fillId="35" borderId="19" xfId="55" applyFont="1" applyFill="1" applyBorder="1" applyAlignment="1">
      <alignment horizontal="center" vertical="center"/>
      <protection/>
    </xf>
    <xf numFmtId="0" fontId="12" fillId="35" borderId="20" xfId="55" applyFont="1" applyFill="1" applyBorder="1" applyAlignment="1">
      <alignment horizontal="center"/>
      <protection/>
    </xf>
    <xf numFmtId="0" fontId="15" fillId="35" borderId="13" xfId="55" applyFont="1" applyFill="1" applyBorder="1" applyAlignment="1">
      <alignment horizontal="center"/>
      <protection/>
    </xf>
    <xf numFmtId="0" fontId="12" fillId="35" borderId="21" xfId="55" applyFont="1" applyFill="1" applyBorder="1" applyAlignment="1">
      <alignment horizontal="center" vertical="center"/>
      <protection/>
    </xf>
    <xf numFmtId="0" fontId="12" fillId="0" borderId="0" xfId="55" applyFont="1" applyBorder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7" fillId="0" borderId="18" xfId="55" applyFont="1" applyFill="1" applyBorder="1" applyAlignment="1">
      <alignment horizontal="center"/>
      <protection/>
    </xf>
    <xf numFmtId="0" fontId="7" fillId="0" borderId="22" xfId="55" applyFont="1" applyBorder="1" applyAlignment="1">
      <alignment/>
      <protection/>
    </xf>
    <xf numFmtId="0" fontId="7" fillId="0" borderId="18" xfId="55" applyFont="1" applyFill="1" applyBorder="1" applyAlignment="1">
      <alignment horizontal="center" vertical="center"/>
      <protection/>
    </xf>
    <xf numFmtId="0" fontId="7" fillId="0" borderId="0" xfId="55" applyFont="1" applyBorder="1" applyAlignment="1">
      <alignment vertical="top"/>
      <protection/>
    </xf>
    <xf numFmtId="0" fontId="7" fillId="0" borderId="23" xfId="55" applyFont="1" applyBorder="1" applyAlignment="1">
      <alignment vertical="top"/>
      <protection/>
    </xf>
    <xf numFmtId="0" fontId="7" fillId="0" borderId="21" xfId="55" applyFont="1" applyFill="1" applyBorder="1" applyAlignment="1">
      <alignment horizontal="center"/>
      <protection/>
    </xf>
    <xf numFmtId="49" fontId="7" fillId="0" borderId="22" xfId="55" applyNumberFormat="1" applyFont="1" applyFill="1" applyBorder="1" applyAlignment="1">
      <alignment/>
      <protection/>
    </xf>
    <xf numFmtId="0" fontId="7" fillId="0" borderId="21" xfId="55" applyFont="1" applyFill="1" applyBorder="1" applyAlignment="1">
      <alignment horizontal="center" vertical="center"/>
      <protection/>
    </xf>
    <xf numFmtId="0" fontId="7" fillId="0" borderId="24" xfId="77" applyFont="1" applyFill="1" applyBorder="1" applyAlignment="1">
      <alignment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22" xfId="75" applyFont="1" applyFill="1" applyBorder="1" applyAlignment="1">
      <alignment wrapText="1"/>
      <protection/>
    </xf>
    <xf numFmtId="0" fontId="7" fillId="0" borderId="19" xfId="55" applyFont="1" applyBorder="1">
      <alignment/>
      <protection/>
    </xf>
    <xf numFmtId="0" fontId="65" fillId="35" borderId="25" xfId="55" applyFont="1" applyFill="1" applyBorder="1" applyAlignment="1">
      <alignment horizontal="center"/>
      <protection/>
    </xf>
    <xf numFmtId="0" fontId="65" fillId="0" borderId="0" xfId="55" applyFont="1" applyBorder="1">
      <alignment/>
      <protection/>
    </xf>
    <xf numFmtId="0" fontId="65" fillId="0" borderId="0" xfId="55" applyFont="1">
      <alignment/>
      <protection/>
    </xf>
    <xf numFmtId="0" fontId="65" fillId="0" borderId="0" xfId="55" applyFont="1" applyBorder="1" applyAlignment="1">
      <alignment vertical="center"/>
      <protection/>
    </xf>
    <xf numFmtId="0" fontId="65" fillId="0" borderId="0" xfId="55" applyFont="1" applyAlignment="1">
      <alignment vertical="center"/>
      <protection/>
    </xf>
    <xf numFmtId="0" fontId="66" fillId="0" borderId="0" xfId="55" applyFont="1" applyAlignment="1">
      <alignment horizontal="center"/>
      <protection/>
    </xf>
    <xf numFmtId="0" fontId="66" fillId="0" borderId="0" xfId="55" applyFont="1">
      <alignment/>
      <protection/>
    </xf>
    <xf numFmtId="0" fontId="66" fillId="0" borderId="0" xfId="55" applyFont="1" applyBorder="1">
      <alignment/>
      <protection/>
    </xf>
    <xf numFmtId="0" fontId="67" fillId="0" borderId="0" xfId="55" applyFont="1" applyFill="1" applyBorder="1">
      <alignment/>
      <protection/>
    </xf>
    <xf numFmtId="187" fontId="68" fillId="0" borderId="0" xfId="55" applyNumberFormat="1" applyFont="1" applyFill="1" applyBorder="1" applyAlignment="1">
      <alignment horizontal="center"/>
      <protection/>
    </xf>
    <xf numFmtId="188" fontId="66" fillId="0" borderId="0" xfId="36" applyFont="1" applyAlignment="1">
      <alignment/>
    </xf>
    <xf numFmtId="0" fontId="67" fillId="0" borderId="0" xfId="55" applyFont="1">
      <alignment/>
      <protection/>
    </xf>
    <xf numFmtId="188" fontId="66" fillId="0" borderId="0" xfId="55" applyNumberFormat="1" applyFont="1">
      <alignment/>
      <protection/>
    </xf>
    <xf numFmtId="0" fontId="7" fillId="0" borderId="0" xfId="77" applyFont="1" applyFill="1" applyBorder="1" applyAlignment="1">
      <alignment wrapText="1"/>
      <protection/>
    </xf>
    <xf numFmtId="189" fontId="6" fillId="0" borderId="0" xfId="55" applyNumberFormat="1" applyFont="1" applyBorder="1" applyAlignment="1">
      <alignment horizontal="center"/>
      <protection/>
    </xf>
    <xf numFmtId="189" fontId="12" fillId="35" borderId="13" xfId="55" applyNumberFormat="1" applyFont="1" applyFill="1" applyBorder="1" applyAlignment="1">
      <alignment horizontal="center"/>
      <protection/>
    </xf>
    <xf numFmtId="189" fontId="66" fillId="0" borderId="0" xfId="55" applyNumberFormat="1" applyFont="1" applyAlignment="1">
      <alignment horizontal="center"/>
      <protection/>
    </xf>
    <xf numFmtId="189" fontId="7" fillId="0" borderId="21" xfId="74" applyNumberFormat="1" applyFont="1" applyFill="1" applyBorder="1" applyAlignment="1" quotePrefix="1">
      <alignment horizontal="right" wrapText="1"/>
      <protection/>
    </xf>
    <xf numFmtId="189" fontId="7" fillId="0" borderId="21" xfId="76" applyNumberFormat="1" applyFont="1" applyFill="1" applyBorder="1" applyAlignment="1">
      <alignment horizontal="right" wrapText="1"/>
      <protection/>
    </xf>
    <xf numFmtId="189" fontId="7" fillId="0" borderId="21" xfId="73" applyNumberFormat="1" applyFont="1" applyFill="1" applyBorder="1" applyAlignment="1">
      <alignment horizontal="right" wrapText="1"/>
      <protection/>
    </xf>
    <xf numFmtId="189" fontId="7" fillId="0" borderId="21" xfId="75" applyNumberFormat="1" applyFont="1" applyFill="1" applyBorder="1" applyAlignment="1" quotePrefix="1">
      <alignment horizontal="right" wrapText="1"/>
      <protection/>
    </xf>
    <xf numFmtId="189" fontId="7" fillId="0" borderId="21" xfId="75" applyNumberFormat="1" applyFont="1" applyFill="1" applyBorder="1" applyAlignment="1">
      <alignment horizontal="right" wrapText="1"/>
      <protection/>
    </xf>
    <xf numFmtId="189" fontId="66" fillId="0" borderId="0" xfId="55" applyNumberFormat="1" applyFont="1" applyAlignment="1">
      <alignment horizontal="right"/>
      <protection/>
    </xf>
    <xf numFmtId="189" fontId="66" fillId="0" borderId="0" xfId="36" applyNumberFormat="1" applyFont="1" applyAlignment="1">
      <alignment horizontal="right"/>
    </xf>
    <xf numFmtId="187" fontId="12" fillId="35" borderId="13" xfId="55" applyNumberFormat="1" applyFont="1" applyFill="1" applyBorder="1" applyAlignment="1">
      <alignment horizontal="center"/>
      <protection/>
    </xf>
    <xf numFmtId="0" fontId="7" fillId="0" borderId="18" xfId="74" applyFont="1" applyFill="1" applyBorder="1" applyAlignment="1" quotePrefix="1">
      <alignment horizontal="center" wrapText="1"/>
      <protection/>
    </xf>
    <xf numFmtId="0" fontId="7" fillId="0" borderId="21" xfId="74" applyFont="1" applyFill="1" applyBorder="1" applyAlignment="1" quotePrefix="1">
      <alignment horizontal="center" wrapText="1"/>
      <protection/>
    </xf>
    <xf numFmtId="0" fontId="7" fillId="0" borderId="22" xfId="77" applyFont="1" applyFill="1" applyBorder="1" applyAlignment="1">
      <alignment horizontal="center" wrapText="1"/>
      <protection/>
    </xf>
    <xf numFmtId="0" fontId="7" fillId="0" borderId="21" xfId="76" applyFont="1" applyFill="1" applyBorder="1" applyAlignment="1">
      <alignment horizontal="center" wrapText="1"/>
      <protection/>
    </xf>
    <xf numFmtId="49" fontId="7" fillId="0" borderId="21" xfId="73" applyNumberFormat="1" applyFont="1" applyFill="1" applyBorder="1" applyAlignment="1" quotePrefix="1">
      <alignment horizontal="center" wrapText="1"/>
      <protection/>
    </xf>
    <xf numFmtId="0" fontId="7" fillId="0" borderId="21" xfId="54" applyNumberFormat="1" applyFont="1" applyFill="1" applyBorder="1" applyAlignment="1" applyProtection="1">
      <alignment horizontal="center"/>
      <protection/>
    </xf>
    <xf numFmtId="0" fontId="7" fillId="0" borderId="21" xfId="75" applyFont="1" applyFill="1" applyBorder="1" applyAlignment="1" quotePrefix="1">
      <alignment horizontal="center" wrapText="1"/>
      <protection/>
    </xf>
    <xf numFmtId="49" fontId="7" fillId="0" borderId="21" xfId="73" applyNumberFormat="1" applyFont="1" applyFill="1" applyBorder="1" applyAlignment="1">
      <alignment horizontal="center" wrapText="1"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center"/>
      <protection/>
    </xf>
    <xf numFmtId="187" fontId="2" fillId="0" borderId="0" xfId="55" applyNumberFormat="1" applyFont="1" applyBorder="1" applyAlignment="1">
      <alignment horizontal="right"/>
      <protection/>
    </xf>
    <xf numFmtId="187" fontId="2" fillId="0" borderId="0" xfId="55" applyNumberFormat="1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189" fontId="7" fillId="0" borderId="0" xfId="78" applyNumberFormat="1" applyFont="1" applyFill="1" applyBorder="1" applyAlignment="1">
      <alignment horizontal="right" wrapText="1"/>
      <protection/>
    </xf>
    <xf numFmtId="189" fontId="7" fillId="0" borderId="0" xfId="77" applyNumberFormat="1" applyFont="1" applyFill="1" applyBorder="1" applyAlignment="1">
      <alignment horizontal="right" wrapText="1"/>
      <protection/>
    </xf>
    <xf numFmtId="189" fontId="7" fillId="0" borderId="0" xfId="55" applyNumberFormat="1" applyFont="1" applyBorder="1">
      <alignment/>
      <protection/>
    </xf>
    <xf numFmtId="0" fontId="0" fillId="0" borderId="0" xfId="0" applyBorder="1" applyAlignment="1">
      <alignment/>
    </xf>
    <xf numFmtId="187" fontId="7" fillId="0" borderId="0" xfId="77" applyNumberFormat="1" applyFont="1" applyFill="1" applyBorder="1" applyAlignment="1">
      <alignment horizontal="right" wrapText="1"/>
      <protection/>
    </xf>
    <xf numFmtId="0" fontId="66" fillId="0" borderId="0" xfId="0" applyFont="1" applyAlignment="1">
      <alignment/>
    </xf>
    <xf numFmtId="0" fontId="7" fillId="0" borderId="25" xfId="55" applyFont="1" applyBorder="1">
      <alignment/>
      <protection/>
    </xf>
    <xf numFmtId="0" fontId="0" fillId="0" borderId="26" xfId="0" applyBorder="1" applyAlignment="1">
      <alignment/>
    </xf>
    <xf numFmtId="0" fontId="12" fillId="35" borderId="13" xfId="55" applyFont="1" applyFill="1" applyBorder="1" applyAlignment="1">
      <alignment/>
      <protection/>
    </xf>
    <xf numFmtId="0" fontId="65" fillId="0" borderId="0" xfId="55" applyFont="1" applyAlignment="1">
      <alignment horizontal="left" vertical="center"/>
      <protection/>
    </xf>
    <xf numFmtId="0" fontId="7" fillId="0" borderId="24" xfId="55" applyFont="1" applyFill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7" fillId="0" borderId="19" xfId="72" applyFont="1" applyFill="1" applyBorder="1" applyAlignment="1">
      <alignment horizontal="center" wrapText="1"/>
      <protection/>
    </xf>
    <xf numFmtId="0" fontId="7" fillId="0" borderId="27" xfId="55" applyFont="1" applyFill="1" applyBorder="1" applyAlignment="1">
      <alignment horizontal="center" vertical="center"/>
      <protection/>
    </xf>
    <xf numFmtId="0" fontId="7" fillId="0" borderId="21" xfId="75" applyFont="1" applyFill="1" applyBorder="1" applyAlignment="1">
      <alignment wrapText="1"/>
      <protection/>
    </xf>
    <xf numFmtId="0" fontId="7" fillId="0" borderId="21" xfId="55" applyFont="1" applyBorder="1">
      <alignment/>
      <protection/>
    </xf>
    <xf numFmtId="49" fontId="7" fillId="0" borderId="21" xfId="55" applyNumberFormat="1" applyFont="1" applyFill="1" applyBorder="1" applyAlignment="1">
      <alignment/>
      <protection/>
    </xf>
    <xf numFmtId="0" fontId="7" fillId="0" borderId="21" xfId="54" applyNumberFormat="1" applyFont="1" applyFill="1" applyBorder="1" applyAlignment="1" applyProtection="1">
      <alignment/>
      <protection/>
    </xf>
    <xf numFmtId="0" fontId="7" fillId="0" borderId="21" xfId="55" applyFont="1" applyBorder="1" applyAlignment="1">
      <alignment/>
      <protection/>
    </xf>
    <xf numFmtId="0" fontId="7" fillId="0" borderId="20" xfId="55" applyFont="1" applyBorder="1" applyAlignment="1">
      <alignment horizontal="center"/>
      <protection/>
    </xf>
    <xf numFmtId="0" fontId="12" fillId="0" borderId="28" xfId="55" applyFont="1" applyBorder="1" applyAlignment="1">
      <alignment horizontal="center"/>
      <protection/>
    </xf>
    <xf numFmtId="0" fontId="7" fillId="0" borderId="24" xfId="55" applyFont="1" applyBorder="1" applyAlignment="1">
      <alignment vertical="center"/>
      <protection/>
    </xf>
    <xf numFmtId="187" fontId="7" fillId="0" borderId="0" xfId="74" applyNumberFormat="1" applyFont="1" applyFill="1" applyBorder="1" applyAlignment="1" quotePrefix="1">
      <alignment horizontal="right" wrapText="1"/>
      <protection/>
    </xf>
    <xf numFmtId="0" fontId="6" fillId="0" borderId="0" xfId="55" applyFont="1" applyBorder="1" applyAlignment="1">
      <alignment horizontal="center"/>
      <protection/>
    </xf>
    <xf numFmtId="0" fontId="12" fillId="35" borderId="20" xfId="55" applyFont="1" applyFill="1" applyBorder="1" applyAlignment="1">
      <alignment horizontal="center"/>
      <protection/>
    </xf>
    <xf numFmtId="0" fontId="65" fillId="0" borderId="0" xfId="55" applyFont="1" applyAlignment="1">
      <alignment horizontal="left" vertical="center"/>
      <protection/>
    </xf>
    <xf numFmtId="189" fontId="12" fillId="36" borderId="0" xfId="55" applyNumberFormat="1" applyFont="1" applyFill="1" applyBorder="1" applyAlignment="1">
      <alignment horizontal="center"/>
      <protection/>
    </xf>
    <xf numFmtId="0" fontId="12" fillId="36" borderId="0" xfId="55" applyFont="1" applyFill="1" applyBorder="1" applyAlignment="1">
      <alignment horizontal="center"/>
      <protection/>
    </xf>
    <xf numFmtId="0" fontId="7" fillId="36" borderId="0" xfId="55" applyFont="1" applyFill="1" applyBorder="1" applyAlignment="1">
      <alignment/>
      <protection/>
    </xf>
    <xf numFmtId="0" fontId="7" fillId="36" borderId="0" xfId="55" applyFont="1" applyFill="1" applyBorder="1" applyAlignment="1">
      <alignment horizontal="center"/>
      <protection/>
    </xf>
    <xf numFmtId="0" fontId="66" fillId="36" borderId="0" xfId="55" applyFont="1" applyFill="1" applyBorder="1" applyAlignment="1">
      <alignment horizontal="center"/>
      <protection/>
    </xf>
    <xf numFmtId="4" fontId="7" fillId="0" borderId="18" xfId="74" applyNumberFormat="1" applyFont="1" applyFill="1" applyBorder="1" applyAlignment="1" quotePrefix="1">
      <alignment horizontal="right" wrapText="1"/>
      <protection/>
    </xf>
    <xf numFmtId="4" fontId="7" fillId="0" borderId="21" xfId="74" applyNumberFormat="1" applyFont="1" applyFill="1" applyBorder="1" applyAlignment="1" quotePrefix="1">
      <alignment horizontal="right" wrapText="1"/>
      <protection/>
    </xf>
    <xf numFmtId="4" fontId="7" fillId="0" borderId="21" xfId="75" applyNumberFormat="1" applyFont="1" applyFill="1" applyBorder="1" applyAlignment="1">
      <alignment horizontal="right" wrapText="1"/>
      <protection/>
    </xf>
    <xf numFmtId="4" fontId="7" fillId="0" borderId="21" xfId="73" applyNumberFormat="1" applyFont="1" applyFill="1" applyBorder="1" applyAlignment="1">
      <alignment horizontal="right" wrapText="1"/>
      <protection/>
    </xf>
    <xf numFmtId="4" fontId="7" fillId="0" borderId="21" xfId="75" applyNumberFormat="1" applyFont="1" applyFill="1" applyBorder="1" applyAlignment="1" quotePrefix="1">
      <alignment horizontal="right" wrapText="1"/>
      <protection/>
    </xf>
    <xf numFmtId="4" fontId="12" fillId="35" borderId="12" xfId="55" applyNumberFormat="1" applyFont="1" applyFill="1" applyBorder="1" applyAlignment="1">
      <alignment horizontal="right"/>
      <protection/>
    </xf>
    <xf numFmtId="4" fontId="12" fillId="35" borderId="13" xfId="55" applyNumberFormat="1" applyFont="1" applyFill="1" applyBorder="1" applyAlignment="1">
      <alignment horizontal="right"/>
      <protection/>
    </xf>
    <xf numFmtId="4" fontId="12" fillId="0" borderId="12" xfId="55" applyNumberFormat="1" applyFont="1" applyBorder="1" applyAlignment="1">
      <alignment horizontal="right"/>
      <protection/>
    </xf>
    <xf numFmtId="4" fontId="12" fillId="0" borderId="13" xfId="55" applyNumberFormat="1" applyFont="1" applyBorder="1" applyAlignment="1">
      <alignment horizontal="right"/>
      <protection/>
    </xf>
    <xf numFmtId="4" fontId="65" fillId="35" borderId="20" xfId="55" applyNumberFormat="1" applyFont="1" applyFill="1" applyBorder="1" applyAlignment="1">
      <alignment horizontal="right"/>
      <protection/>
    </xf>
    <xf numFmtId="4" fontId="65" fillId="35" borderId="19" xfId="55" applyNumberFormat="1" applyFont="1" applyFill="1" applyBorder="1" applyAlignment="1">
      <alignment horizontal="right"/>
      <protection/>
    </xf>
    <xf numFmtId="4" fontId="7" fillId="0" borderId="21" xfId="78" applyNumberFormat="1" applyFont="1" applyFill="1" applyBorder="1" applyAlignment="1">
      <alignment horizontal="right" wrapText="1"/>
      <protection/>
    </xf>
    <xf numFmtId="4" fontId="7" fillId="0" borderId="21" xfId="77" applyNumberFormat="1" applyFont="1" applyFill="1" applyBorder="1" applyAlignment="1">
      <alignment horizontal="right" wrapText="1"/>
      <protection/>
    </xf>
    <xf numFmtId="4" fontId="66" fillId="0" borderId="21" xfId="0" applyNumberFormat="1" applyFont="1" applyBorder="1" applyAlignment="1">
      <alignment/>
    </xf>
    <xf numFmtId="4" fontId="0" fillId="0" borderId="0" xfId="0" applyNumberFormat="1" applyAlignment="1">
      <alignment/>
    </xf>
    <xf numFmtId="4" fontId="65" fillId="35" borderId="26" xfId="55" applyNumberFormat="1" applyFont="1" applyFill="1" applyBorder="1" applyAlignment="1">
      <alignment horizontal="right"/>
      <protection/>
    </xf>
    <xf numFmtId="4" fontId="7" fillId="0" borderId="0" xfId="74" applyNumberFormat="1" applyFont="1" applyFill="1" applyBorder="1" applyAlignment="1" quotePrefix="1">
      <alignment horizontal="right" wrapText="1"/>
      <protection/>
    </xf>
    <xf numFmtId="4" fontId="7" fillId="0" borderId="0" xfId="75" applyNumberFormat="1" applyFont="1" applyFill="1" applyBorder="1" applyAlignment="1">
      <alignment horizontal="right" wrapText="1"/>
      <protection/>
    </xf>
    <xf numFmtId="4" fontId="7" fillId="0" borderId="0" xfId="73" applyNumberFormat="1" applyFont="1" applyFill="1" applyBorder="1" applyAlignment="1">
      <alignment horizontal="right" wrapText="1"/>
      <protection/>
    </xf>
    <xf numFmtId="4" fontId="0" fillId="0" borderId="0" xfId="0" applyNumberFormat="1" applyBorder="1" applyAlignment="1">
      <alignment/>
    </xf>
    <xf numFmtId="4" fontId="69" fillId="0" borderId="0" xfId="0" applyNumberFormat="1" applyFont="1" applyAlignment="1">
      <alignment horizontal="center" vertical="center" readingOrder="1"/>
    </xf>
    <xf numFmtId="0" fontId="0" fillId="0" borderId="0" xfId="0" applyAlignment="1">
      <alignment wrapText="1"/>
    </xf>
    <xf numFmtId="4" fontId="7" fillId="0" borderId="0" xfId="77" applyNumberFormat="1" applyFont="1" applyFill="1" applyBorder="1" applyAlignment="1">
      <alignment horizontal="right" wrapText="1"/>
      <protection/>
    </xf>
    <xf numFmtId="4" fontId="12" fillId="35" borderId="19" xfId="55" applyNumberFormat="1" applyFont="1" applyFill="1" applyBorder="1" applyAlignment="1">
      <alignment horizontal="right"/>
      <protection/>
    </xf>
    <xf numFmtId="4" fontId="0" fillId="0" borderId="26" xfId="0" applyNumberFormat="1" applyBorder="1" applyAlignment="1">
      <alignment/>
    </xf>
    <xf numFmtId="4" fontId="65" fillId="36" borderId="0" xfId="55" applyNumberFormat="1" applyFont="1" applyFill="1" applyBorder="1" applyAlignment="1">
      <alignment horizontal="right"/>
      <protection/>
    </xf>
    <xf numFmtId="49" fontId="7" fillId="0" borderId="18" xfId="55" applyNumberFormat="1" applyFont="1" applyFill="1" applyBorder="1" applyAlignment="1">
      <alignment/>
      <protection/>
    </xf>
    <xf numFmtId="0" fontId="66" fillId="0" borderId="24" xfId="0" applyFont="1" applyBorder="1" applyAlignment="1">
      <alignment/>
    </xf>
    <xf numFmtId="4" fontId="65" fillId="0" borderId="0" xfId="55" applyNumberFormat="1" applyFont="1" applyAlignment="1">
      <alignment horizontal="left" vertical="center"/>
      <protection/>
    </xf>
    <xf numFmtId="4" fontId="7" fillId="0" borderId="19" xfId="55" applyNumberFormat="1" applyFont="1" applyBorder="1">
      <alignment/>
      <protection/>
    </xf>
    <xf numFmtId="0" fontId="7" fillId="0" borderId="29" xfId="77" applyFont="1" applyFill="1" applyBorder="1" applyAlignment="1">
      <alignment horizontal="center" wrapText="1"/>
      <protection/>
    </xf>
    <xf numFmtId="0" fontId="7" fillId="0" borderId="22" xfId="78" applyFont="1" applyFill="1" applyBorder="1" applyAlignment="1">
      <alignment horizontal="center" wrapText="1"/>
      <protection/>
    </xf>
    <xf numFmtId="187" fontId="5" fillId="33" borderId="10" xfId="55" applyNumberFormat="1" applyFont="1" applyFill="1" applyBorder="1" applyAlignment="1">
      <alignment horizontal="center" vertical="center"/>
      <protection/>
    </xf>
    <xf numFmtId="187" fontId="2" fillId="0" borderId="0" xfId="55" applyNumberFormat="1" applyFont="1" applyBorder="1">
      <alignment/>
      <protection/>
    </xf>
    <xf numFmtId="4" fontId="2" fillId="0" borderId="0" xfId="55" applyNumberFormat="1" applyFont="1" applyBorder="1" applyAlignment="1">
      <alignment horizontal="right"/>
      <protection/>
    </xf>
    <xf numFmtId="4" fontId="66" fillId="34" borderId="0" xfId="0" applyNumberFormat="1" applyFont="1" applyFill="1" applyBorder="1" applyAlignment="1">
      <alignment horizontal="right" vertical="top" wrapText="1"/>
    </xf>
    <xf numFmtId="0" fontId="3" fillId="0" borderId="30" xfId="55" applyFont="1" applyBorder="1" applyAlignment="1">
      <alignment horizontal="centerContinuous"/>
      <protection/>
    </xf>
    <xf numFmtId="0" fontId="5" fillId="33" borderId="10" xfId="55" applyFont="1" applyFill="1" applyBorder="1" applyAlignment="1">
      <alignment horizontal="center" vertical="center"/>
      <protection/>
    </xf>
    <xf numFmtId="187" fontId="65" fillId="0" borderId="0" xfId="0" applyNumberFormat="1" applyFont="1" applyBorder="1" applyAlignment="1">
      <alignment horizontal="center"/>
    </xf>
    <xf numFmtId="187" fontId="3" fillId="0" borderId="0" xfId="55" applyNumberFormat="1" applyFont="1" applyFill="1" applyBorder="1" applyAlignment="1">
      <alignment horizontal="center"/>
      <protection/>
    </xf>
    <xf numFmtId="187" fontId="5" fillId="33" borderId="30" xfId="35" applyNumberFormat="1" applyFont="1" applyFill="1" applyBorder="1" applyAlignment="1">
      <alignment horizontal="center" vertical="center"/>
    </xf>
    <xf numFmtId="187" fontId="3" fillId="0" borderId="30" xfId="55" applyNumberFormat="1" applyFont="1" applyBorder="1" applyAlignment="1">
      <alignment horizontal="right"/>
      <protection/>
    </xf>
    <xf numFmtId="187" fontId="3" fillId="0" borderId="30" xfId="55" applyNumberFormat="1" applyFont="1" applyFill="1" applyBorder="1" applyAlignment="1">
      <alignment horizontal="right"/>
      <protection/>
    </xf>
    <xf numFmtId="187" fontId="5" fillId="33" borderId="27" xfId="55" applyNumberFormat="1" applyFont="1" applyFill="1" applyBorder="1" applyAlignment="1">
      <alignment horizontal="center" vertical="center"/>
      <protection/>
    </xf>
    <xf numFmtId="187" fontId="5" fillId="33" borderId="29" xfId="35" applyNumberFormat="1" applyFont="1" applyFill="1" applyBorder="1" applyAlignment="1">
      <alignment horizontal="center" vertical="center"/>
    </xf>
    <xf numFmtId="4" fontId="2" fillId="0" borderId="10" xfId="55" applyNumberFormat="1" applyFont="1" applyBorder="1" applyAlignment="1">
      <alignment horizontal="right"/>
      <protection/>
    </xf>
    <xf numFmtId="4" fontId="2" fillId="0" borderId="0" xfId="55" applyNumberFormat="1" applyFont="1" applyBorder="1" applyAlignment="1">
      <alignment horizontal="right" wrapText="1"/>
      <protection/>
    </xf>
    <xf numFmtId="4" fontId="2" fillId="0" borderId="0" xfId="55" applyNumberFormat="1" applyFont="1" applyBorder="1" applyAlignment="1">
      <alignment horizontal="center"/>
      <protection/>
    </xf>
    <xf numFmtId="189" fontId="12" fillId="36" borderId="0" xfId="55" applyNumberFormat="1" applyFont="1" applyFill="1" applyBorder="1" applyAlignment="1">
      <alignment horizontal="right"/>
      <protection/>
    </xf>
    <xf numFmtId="189" fontId="65" fillId="36" borderId="0" xfId="55" applyNumberFormat="1" applyFont="1" applyFill="1" applyBorder="1" applyAlignment="1">
      <alignment horizontal="center"/>
      <protection/>
    </xf>
    <xf numFmtId="0" fontId="12" fillId="0" borderId="0" xfId="55" applyFont="1" applyBorder="1" applyAlignment="1">
      <alignment/>
      <protection/>
    </xf>
    <xf numFmtId="0" fontId="16" fillId="0" borderId="0" xfId="55" applyFont="1" applyBorder="1">
      <alignment/>
      <protection/>
    </xf>
    <xf numFmtId="189" fontId="12" fillId="35" borderId="31" xfId="55" applyNumberFormat="1" applyFont="1" applyFill="1" applyBorder="1" applyAlignment="1">
      <alignment horizontal="right"/>
      <protection/>
    </xf>
    <xf numFmtId="0" fontId="6" fillId="0" borderId="0" xfId="55" applyFont="1" applyBorder="1" applyAlignment="1">
      <alignment horizontal="center"/>
      <protection/>
    </xf>
    <xf numFmtId="189" fontId="66" fillId="0" borderId="0" xfId="55" applyNumberFormat="1" applyFont="1" applyBorder="1" applyAlignment="1">
      <alignment horizontal="center"/>
      <protection/>
    </xf>
    <xf numFmtId="0" fontId="12" fillId="35" borderId="13" xfId="55" applyFont="1" applyFill="1" applyBorder="1" applyAlignment="1">
      <alignment horizontal="center"/>
      <protection/>
    </xf>
    <xf numFmtId="189" fontId="7" fillId="0" borderId="18" xfId="75" applyNumberFormat="1" applyFont="1" applyFill="1" applyBorder="1" applyAlignment="1">
      <alignment horizontal="right" wrapText="1"/>
      <protection/>
    </xf>
    <xf numFmtId="189" fontId="7" fillId="0" borderId="0" xfId="75" applyNumberFormat="1" applyFont="1" applyFill="1" applyBorder="1" applyAlignment="1">
      <alignment horizontal="right" wrapText="1"/>
      <protection/>
    </xf>
    <xf numFmtId="0" fontId="0" fillId="0" borderId="21" xfId="0" applyBorder="1" applyAlignment="1">
      <alignment/>
    </xf>
    <xf numFmtId="4" fontId="7" fillId="0" borderId="19" xfId="72" applyNumberFormat="1" applyFont="1" applyFill="1" applyBorder="1" applyAlignment="1">
      <alignment horizontal="right" wrapText="1"/>
      <protection/>
    </xf>
    <xf numFmtId="187" fontId="12" fillId="35" borderId="18" xfId="55" applyNumberFormat="1" applyFont="1" applyFill="1" applyBorder="1" applyAlignment="1">
      <alignment horizontal="center"/>
      <protection/>
    </xf>
    <xf numFmtId="0" fontId="7" fillId="0" borderId="24" xfId="55" applyFont="1" applyBorder="1">
      <alignment/>
      <protection/>
    </xf>
    <xf numFmtId="0" fontId="12" fillId="35" borderId="29" xfId="55" applyFont="1" applyFill="1" applyBorder="1" applyAlignment="1">
      <alignment/>
      <protection/>
    </xf>
    <xf numFmtId="4" fontId="12" fillId="35" borderId="20" xfId="55" applyNumberFormat="1" applyFont="1" applyFill="1" applyBorder="1" applyAlignment="1">
      <alignment horizontal="right"/>
      <protection/>
    </xf>
    <xf numFmtId="189" fontId="7" fillId="0" borderId="21" xfId="77" applyNumberFormat="1" applyFont="1" applyFill="1" applyBorder="1" applyAlignment="1">
      <alignment horizontal="right" wrapText="1"/>
      <protection/>
    </xf>
    <xf numFmtId="0" fontId="6" fillId="0" borderId="0" xfId="55" applyFont="1" applyBorder="1" applyAlignment="1">
      <alignment horizontal="center"/>
      <protection/>
    </xf>
    <xf numFmtId="0" fontId="66" fillId="0" borderId="0" xfId="77" applyFont="1" applyFill="1" applyBorder="1" applyAlignment="1">
      <alignment wrapText="1"/>
      <protection/>
    </xf>
    <xf numFmtId="0" fontId="66" fillId="0" borderId="0" xfId="0" applyFont="1" applyBorder="1" applyAlignment="1">
      <alignment/>
    </xf>
    <xf numFmtId="0" fontId="66" fillId="0" borderId="24" xfId="77" applyFont="1" applyFill="1" applyBorder="1" applyAlignment="1">
      <alignment wrapText="1"/>
      <protection/>
    </xf>
    <xf numFmtId="0" fontId="12" fillId="35" borderId="13" xfId="55" applyFont="1" applyFill="1" applyBorder="1" applyAlignment="1">
      <alignment horizontal="left"/>
      <protection/>
    </xf>
    <xf numFmtId="189" fontId="12" fillId="35" borderId="32" xfId="55" applyNumberFormat="1" applyFont="1" applyFill="1" applyBorder="1" applyAlignment="1">
      <alignment horizontal="right"/>
      <protection/>
    </xf>
    <xf numFmtId="189" fontId="7" fillId="0" borderId="21" xfId="78" applyNumberFormat="1" applyFont="1" applyFill="1" applyBorder="1" applyAlignment="1">
      <alignment horizontal="right" wrapText="1"/>
      <protection/>
    </xf>
    <xf numFmtId="189" fontId="7" fillId="0" borderId="21" xfId="55" applyNumberFormat="1" applyFont="1" applyBorder="1">
      <alignment/>
      <protection/>
    </xf>
    <xf numFmtId="0" fontId="65" fillId="35" borderId="25" xfId="55" applyFont="1" applyFill="1" applyBorder="1" applyAlignment="1">
      <alignment/>
      <protection/>
    </xf>
    <xf numFmtId="0" fontId="65" fillId="35" borderId="20" xfId="55" applyFont="1" applyFill="1" applyBorder="1" applyAlignment="1">
      <alignment/>
      <protection/>
    </xf>
    <xf numFmtId="0" fontId="7" fillId="36" borderId="21" xfId="55" applyFont="1" applyFill="1" applyBorder="1" applyAlignment="1">
      <alignment horizontal="center"/>
      <protection/>
    </xf>
    <xf numFmtId="0" fontId="12" fillId="36" borderId="21" xfId="55" applyFont="1" applyFill="1" applyBorder="1" applyAlignment="1">
      <alignment/>
      <protection/>
    </xf>
    <xf numFmtId="0" fontId="7" fillId="36" borderId="24" xfId="55" applyFont="1" applyFill="1" applyBorder="1" applyAlignment="1">
      <alignment horizontal="center" vertical="center"/>
      <protection/>
    </xf>
    <xf numFmtId="0" fontId="12" fillId="36" borderId="24" xfId="55" applyFont="1" applyFill="1" applyBorder="1" applyAlignment="1">
      <alignment/>
      <protection/>
    </xf>
    <xf numFmtId="0" fontId="68" fillId="36" borderId="26" xfId="55" applyFont="1" applyFill="1" applyBorder="1" applyAlignment="1">
      <alignment horizontal="center"/>
      <protection/>
    </xf>
    <xf numFmtId="0" fontId="9" fillId="0" borderId="10" xfId="71" applyFont="1" applyFill="1" applyBorder="1" applyAlignment="1">
      <alignment horizontal="left" wrapText="1"/>
      <protection/>
    </xf>
    <xf numFmtId="0" fontId="2" fillId="0" borderId="30" xfId="55" applyFont="1" applyBorder="1" applyAlignment="1">
      <alignment horizontal="left"/>
      <protection/>
    </xf>
    <xf numFmtId="0" fontId="2" fillId="0" borderId="33" xfId="55" applyFont="1" applyBorder="1" applyAlignment="1">
      <alignment horizontal="left"/>
      <protection/>
    </xf>
    <xf numFmtId="0" fontId="0" fillId="0" borderId="0" xfId="34" applyFont="1" applyAlignment="1">
      <alignment horizontal="center"/>
    </xf>
    <xf numFmtId="187" fontId="9" fillId="0" borderId="10" xfId="71" applyNumberFormat="1" applyFont="1" applyFill="1" applyBorder="1" applyAlignment="1">
      <alignment wrapText="1"/>
      <protection/>
    </xf>
    <xf numFmtId="4" fontId="9" fillId="0" borderId="30" xfId="71" applyNumberFormat="1" applyFont="1" applyFill="1" applyBorder="1" applyAlignment="1">
      <alignment wrapText="1"/>
      <protection/>
    </xf>
    <xf numFmtId="187" fontId="9" fillId="0" borderId="10" xfId="55" applyNumberFormat="1" applyFont="1" applyBorder="1" applyAlignment="1">
      <alignment/>
      <protection/>
    </xf>
    <xf numFmtId="187" fontId="9" fillId="0" borderId="30" xfId="71" applyNumberFormat="1" applyFont="1" applyFill="1" applyBorder="1" applyAlignment="1">
      <alignment wrapText="1"/>
      <protection/>
    </xf>
    <xf numFmtId="4" fontId="66" fillId="34" borderId="34" xfId="0" applyNumberFormat="1" applyFont="1" applyFill="1" applyBorder="1" applyAlignment="1">
      <alignment vertical="top" wrapText="1"/>
    </xf>
    <xf numFmtId="0" fontId="2" fillId="0" borderId="35" xfId="55" applyFont="1" applyBorder="1" applyAlignment="1">
      <alignment horizontal="center"/>
      <protection/>
    </xf>
    <xf numFmtId="0" fontId="2" fillId="0" borderId="36" xfId="55" applyFont="1" applyBorder="1" applyAlignment="1">
      <alignment horizontal="center"/>
      <protection/>
    </xf>
    <xf numFmtId="0" fontId="5" fillId="33" borderId="37" xfId="55" applyFont="1" applyFill="1" applyBorder="1" applyAlignment="1">
      <alignment horizontal="center" vertical="center"/>
      <protection/>
    </xf>
    <xf numFmtId="0" fontId="2" fillId="0" borderId="37" xfId="55" applyFont="1" applyBorder="1" applyAlignment="1">
      <alignment horizontal="center"/>
      <protection/>
    </xf>
    <xf numFmtId="0" fontId="9" fillId="0" borderId="38" xfId="71" applyFont="1" applyFill="1" applyBorder="1" applyAlignment="1">
      <alignment horizontal="center" wrapText="1"/>
      <protection/>
    </xf>
    <xf numFmtId="4" fontId="2" fillId="0" borderId="0" xfId="55" applyNumberFormat="1" applyFont="1">
      <alignment/>
      <protection/>
    </xf>
    <xf numFmtId="190" fontId="2" fillId="0" borderId="0" xfId="55" applyNumberFormat="1" applyFont="1" applyBorder="1">
      <alignment/>
      <protection/>
    </xf>
    <xf numFmtId="187" fontId="2" fillId="0" borderId="0" xfId="55" applyNumberFormat="1" applyFont="1" applyAlignment="1">
      <alignment horizontal="center"/>
      <protection/>
    </xf>
    <xf numFmtId="0" fontId="2" fillId="0" borderId="30" xfId="55" applyFont="1" applyBorder="1">
      <alignment/>
      <protection/>
    </xf>
    <xf numFmtId="4" fontId="70" fillId="36" borderId="10" xfId="0" applyNumberFormat="1" applyFont="1" applyFill="1" applyBorder="1" applyAlignment="1">
      <alignment wrapText="1"/>
    </xf>
    <xf numFmtId="0" fontId="65" fillId="0" borderId="0" xfId="55" applyFont="1" applyBorder="1" applyAlignment="1">
      <alignment horizontal="center" vertical="center"/>
      <protection/>
    </xf>
    <xf numFmtId="0" fontId="6" fillId="37" borderId="10" xfId="54" applyNumberFormat="1" applyFont="1" applyFill="1" applyBorder="1" applyAlignment="1" applyProtection="1">
      <alignment horizontal="center"/>
      <protection/>
    </xf>
    <xf numFmtId="0" fontId="5" fillId="38" borderId="30" xfId="72" applyFont="1" applyFill="1" applyBorder="1" applyAlignment="1">
      <alignment horizontal="center"/>
      <protection/>
    </xf>
    <xf numFmtId="0" fontId="63" fillId="0" borderId="10" xfId="0" applyFont="1" applyBorder="1" applyAlignment="1">
      <alignment horizontal="center"/>
    </xf>
    <xf numFmtId="0" fontId="2" fillId="0" borderId="30" xfId="71" applyFont="1" applyFill="1" applyBorder="1" applyAlignment="1">
      <alignment horizontal="left" wrapText="1"/>
      <protection/>
    </xf>
    <xf numFmtId="0" fontId="63" fillId="0" borderId="30" xfId="71" applyFont="1" applyFill="1" applyBorder="1" applyAlignment="1">
      <alignment horizontal="left" wrapText="1"/>
      <protection/>
    </xf>
    <xf numFmtId="0" fontId="63" fillId="0" borderId="30" xfId="34" applyFont="1" applyBorder="1" applyAlignment="1">
      <alignment horizontal="left" vertical="top" wrapText="1"/>
    </xf>
    <xf numFmtId="0" fontId="63" fillId="34" borderId="30" xfId="0" applyFont="1" applyFill="1" applyBorder="1" applyAlignment="1">
      <alignment horizontal="left" vertical="top" wrapText="1"/>
    </xf>
    <xf numFmtId="0" fontId="71" fillId="0" borderId="30" xfId="0" applyFont="1" applyBorder="1" applyAlignment="1">
      <alignment horizontal="left"/>
    </xf>
    <xf numFmtId="0" fontId="63" fillId="0" borderId="39" xfId="0" applyFont="1" applyBorder="1" applyAlignment="1">
      <alignment horizontal="center"/>
    </xf>
    <xf numFmtId="4" fontId="63" fillId="34" borderId="10" xfId="0" applyNumberFormat="1" applyFont="1" applyFill="1" applyBorder="1" applyAlignment="1">
      <alignment horizontal="right" vertical="top" wrapText="1"/>
    </xf>
    <xf numFmtId="0" fontId="63" fillId="0" borderId="40" xfId="0" applyFont="1" applyBorder="1" applyAlignment="1">
      <alignment horizontal="center"/>
    </xf>
    <xf numFmtId="0" fontId="22" fillId="0" borderId="10" xfId="0" applyNumberFormat="1" applyFont="1" applyFill="1" applyBorder="1" applyAlignment="1" applyProtection="1">
      <alignment horizontal="centerContinuous"/>
      <protection/>
    </xf>
    <xf numFmtId="0" fontId="22" fillId="0" borderId="30" xfId="0" applyNumberFormat="1" applyFont="1" applyFill="1" applyBorder="1" applyAlignment="1" applyProtection="1">
      <alignment horizontal="left"/>
      <protection/>
    </xf>
    <xf numFmtId="187" fontId="5" fillId="0" borderId="10" xfId="71" applyNumberFormat="1" applyFont="1" applyFill="1" applyBorder="1" applyAlignment="1">
      <alignment horizontal="right" wrapText="1"/>
      <protection/>
    </xf>
    <xf numFmtId="187" fontId="63" fillId="0" borderId="10" xfId="0" applyNumberFormat="1" applyFont="1" applyBorder="1" applyAlignment="1">
      <alignment horizontal="right"/>
    </xf>
    <xf numFmtId="4" fontId="63" fillId="0" borderId="10" xfId="0" applyNumberFormat="1" applyFont="1" applyBorder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Continuous"/>
      <protection/>
    </xf>
    <xf numFmtId="0" fontId="6" fillId="0" borderId="30" xfId="0" applyNumberFormat="1" applyFont="1" applyFill="1" applyBorder="1" applyAlignment="1" applyProtection="1">
      <alignment horizontal="left"/>
      <protection/>
    </xf>
    <xf numFmtId="4" fontId="72" fillId="36" borderId="10" xfId="0" applyNumberFormat="1" applyFont="1" applyFill="1" applyBorder="1" applyAlignment="1">
      <alignment wrapText="1"/>
    </xf>
    <xf numFmtId="187" fontId="72" fillId="36" borderId="10" xfId="0" applyNumberFormat="1" applyFont="1" applyFill="1" applyBorder="1" applyAlignment="1">
      <alignment/>
    </xf>
    <xf numFmtId="187" fontId="2" fillId="38" borderId="10" xfId="72" applyNumberFormat="1" applyFont="1" applyFill="1" applyBorder="1" applyAlignment="1">
      <alignment horizontal="center"/>
      <protection/>
    </xf>
    <xf numFmtId="187" fontId="2" fillId="38" borderId="37" xfId="72" applyNumberFormat="1" applyFont="1" applyFill="1" applyBorder="1" applyAlignment="1">
      <alignment horizontal="center"/>
      <protection/>
    </xf>
    <xf numFmtId="187" fontId="63" fillId="0" borderId="10" xfId="71" applyNumberFormat="1" applyFont="1" applyFill="1" applyBorder="1" applyAlignment="1">
      <alignment wrapText="1"/>
      <protection/>
    </xf>
    <xf numFmtId="4" fontId="63" fillId="0" borderId="10" xfId="71" applyNumberFormat="1" applyFont="1" applyFill="1" applyBorder="1" applyAlignment="1">
      <alignment wrapText="1"/>
      <protection/>
    </xf>
    <xf numFmtId="187" fontId="63" fillId="0" borderId="10" xfId="55" applyNumberFormat="1" applyFont="1" applyBorder="1" applyAlignment="1">
      <alignment/>
      <protection/>
    </xf>
    <xf numFmtId="4" fontId="63" fillId="34" borderId="10" xfId="0" applyNumberFormat="1" applyFont="1" applyFill="1" applyBorder="1" applyAlignment="1">
      <alignment vertical="top" wrapText="1"/>
    </xf>
    <xf numFmtId="0" fontId="63" fillId="34" borderId="10" xfId="0" applyFont="1" applyFill="1" applyBorder="1" applyAlignment="1">
      <alignment vertical="top" wrapText="1"/>
    </xf>
    <xf numFmtId="0" fontId="63" fillId="0" borderId="10" xfId="72" applyFont="1" applyBorder="1" applyAlignment="1">
      <alignment/>
      <protection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vertical="center" wrapText="1"/>
    </xf>
    <xf numFmtId="0" fontId="12" fillId="36" borderId="0" xfId="55" applyFont="1" applyFill="1" applyBorder="1" applyAlignment="1">
      <alignment/>
      <protection/>
    </xf>
    <xf numFmtId="0" fontId="65" fillId="2" borderId="10" xfId="0" applyFont="1" applyFill="1" applyBorder="1" applyAlignment="1">
      <alignment horizontal="center" vertical="center"/>
    </xf>
    <xf numFmtId="49" fontId="65" fillId="2" borderId="10" xfId="0" applyNumberFormat="1" applyFont="1" applyFill="1" applyBorder="1" applyAlignment="1">
      <alignment horizontal="center" vertical="center"/>
    </xf>
    <xf numFmtId="43" fontId="65" fillId="2" borderId="10" xfId="45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vertical="center"/>
      <protection/>
    </xf>
    <xf numFmtId="189" fontId="7" fillId="0" borderId="10" xfId="52" applyNumberFormat="1" applyFont="1" applyFill="1" applyBorder="1" applyAlignment="1" applyProtection="1">
      <alignment vertical="center"/>
      <protection/>
    </xf>
    <xf numFmtId="189" fontId="7" fillId="0" borderId="10" xfId="52" applyNumberFormat="1" applyFont="1" applyFill="1" applyBorder="1" applyAlignment="1" applyProtection="1">
      <alignment horizontal="center" vertical="center"/>
      <protection/>
    </xf>
    <xf numFmtId="43" fontId="66" fillId="0" borderId="10" xfId="45" applyFont="1" applyBorder="1" applyAlignment="1">
      <alignment vertical="center"/>
    </xf>
    <xf numFmtId="43" fontId="66" fillId="0" borderId="10" xfId="45" applyFont="1" applyBorder="1" applyAlignment="1">
      <alignment horizontal="center" vertical="center"/>
    </xf>
    <xf numFmtId="0" fontId="7" fillId="0" borderId="10" xfId="61" applyNumberFormat="1" applyFont="1" applyFill="1" applyBorder="1" applyAlignment="1" applyProtection="1">
      <alignment vertical="center"/>
      <protection/>
    </xf>
    <xf numFmtId="189" fontId="7" fillId="0" borderId="10" xfId="61" applyNumberFormat="1" applyFont="1" applyFill="1" applyBorder="1" applyAlignment="1" applyProtection="1">
      <alignment vertical="center"/>
      <protection/>
    </xf>
    <xf numFmtId="189" fontId="7" fillId="0" borderId="10" xfId="61" applyNumberFormat="1" applyFont="1" applyFill="1" applyBorder="1" applyAlignment="1" applyProtection="1">
      <alignment horizontal="center" vertical="center"/>
      <protection/>
    </xf>
    <xf numFmtId="0" fontId="7" fillId="0" borderId="10" xfId="66" applyNumberFormat="1" applyFont="1" applyFill="1" applyBorder="1" applyAlignment="1" applyProtection="1">
      <alignment vertical="center"/>
      <protection/>
    </xf>
    <xf numFmtId="189" fontId="7" fillId="0" borderId="10" xfId="66" applyNumberFormat="1" applyFont="1" applyFill="1" applyBorder="1" applyAlignment="1" applyProtection="1">
      <alignment vertical="center"/>
      <protection/>
    </xf>
    <xf numFmtId="189" fontId="7" fillId="0" borderId="10" xfId="66" applyNumberFormat="1" applyFont="1" applyFill="1" applyBorder="1" applyAlignment="1" applyProtection="1">
      <alignment horizontal="center" vertical="center"/>
      <protection/>
    </xf>
    <xf numFmtId="189" fontId="7" fillId="0" borderId="10" xfId="67" applyNumberFormat="1" applyFont="1" applyFill="1" applyBorder="1" applyAlignment="1" applyProtection="1">
      <alignment vertical="center"/>
      <protection/>
    </xf>
    <xf numFmtId="189" fontId="7" fillId="0" borderId="10" xfId="67" applyNumberFormat="1" applyFont="1" applyFill="1" applyBorder="1" applyAlignment="1" applyProtection="1">
      <alignment horizontal="center" vertical="center"/>
      <protection/>
    </xf>
    <xf numFmtId="0" fontId="66" fillId="0" borderId="39" xfId="0" applyFont="1" applyBorder="1" applyAlignment="1">
      <alignment horizontal="center" vertical="center"/>
    </xf>
    <xf numFmtId="0" fontId="7" fillId="0" borderId="10" xfId="51" applyNumberFormat="1" applyFont="1" applyFill="1" applyBorder="1" applyAlignment="1" applyProtection="1">
      <alignment vertical="center" wrapText="1"/>
      <protection/>
    </xf>
    <xf numFmtId="189" fontId="7" fillId="0" borderId="10" xfId="51" applyNumberFormat="1" applyFont="1" applyFill="1" applyBorder="1" applyAlignment="1" applyProtection="1">
      <alignment vertical="center"/>
      <protection/>
    </xf>
    <xf numFmtId="189" fontId="7" fillId="0" borderId="10" xfId="51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 applyProtection="1">
      <alignment horizontal="left" vertical="center"/>
      <protection/>
    </xf>
    <xf numFmtId="189" fontId="7" fillId="0" borderId="10" xfId="69" applyNumberFormat="1" applyFont="1" applyFill="1" applyBorder="1" applyAlignment="1" applyProtection="1">
      <alignment vertical="center"/>
      <protection/>
    </xf>
    <xf numFmtId="0" fontId="7" fillId="0" borderId="10" xfId="69" applyNumberFormat="1" applyFont="1" applyFill="1" applyBorder="1" applyAlignment="1" applyProtection="1">
      <alignment vertical="center" wrapText="1" shrinkToFit="1"/>
      <protection/>
    </xf>
    <xf numFmtId="189" fontId="7" fillId="0" borderId="10" xfId="65" applyNumberFormat="1" applyFont="1" applyFill="1" applyBorder="1" applyAlignment="1" applyProtection="1">
      <alignment vertical="center"/>
      <protection/>
    </xf>
    <xf numFmtId="189" fontId="7" fillId="0" borderId="10" xfId="65" applyNumberFormat="1" applyFont="1" applyFill="1" applyBorder="1" applyAlignment="1" applyProtection="1">
      <alignment horizontal="center" vertical="center"/>
      <protection/>
    </xf>
    <xf numFmtId="0" fontId="7" fillId="0" borderId="10" xfId="49" applyNumberFormat="1" applyFont="1" applyFill="1" applyBorder="1" applyAlignment="1" applyProtection="1">
      <alignment vertical="center"/>
      <protection/>
    </xf>
    <xf numFmtId="189" fontId="7" fillId="0" borderId="10" xfId="49" applyNumberFormat="1" applyFont="1" applyFill="1" applyBorder="1" applyAlignment="1" applyProtection="1">
      <alignment vertical="center"/>
      <protection/>
    </xf>
    <xf numFmtId="189" fontId="7" fillId="0" borderId="10" xfId="49" applyNumberFormat="1" applyFont="1" applyFill="1" applyBorder="1" applyAlignment="1" applyProtection="1">
      <alignment horizontal="center" vertical="center"/>
      <protection/>
    </xf>
    <xf numFmtId="0" fontId="7" fillId="0" borderId="10" xfId="60" applyNumberFormat="1" applyFont="1" applyFill="1" applyBorder="1" applyAlignment="1" applyProtection="1">
      <alignment vertical="center" wrapText="1"/>
      <protection/>
    </xf>
    <xf numFmtId="189" fontId="7" fillId="0" borderId="10" xfId="60" applyNumberFormat="1" applyFont="1" applyFill="1" applyBorder="1" applyAlignment="1" applyProtection="1">
      <alignment vertical="center"/>
      <protection/>
    </xf>
    <xf numFmtId="189" fontId="7" fillId="0" borderId="10" xfId="60" applyNumberFormat="1" applyFont="1" applyFill="1" applyBorder="1" applyAlignment="1" applyProtection="1">
      <alignment horizontal="center" vertical="center"/>
      <protection/>
    </xf>
    <xf numFmtId="0" fontId="7" fillId="0" borderId="10" xfId="63" applyNumberFormat="1" applyFont="1" applyFill="1" applyBorder="1" applyAlignment="1" applyProtection="1">
      <alignment vertical="center"/>
      <protection/>
    </xf>
    <xf numFmtId="189" fontId="7" fillId="0" borderId="10" xfId="63" applyNumberFormat="1" applyFont="1" applyFill="1" applyBorder="1" applyAlignment="1" applyProtection="1">
      <alignment vertical="center"/>
      <protection/>
    </xf>
    <xf numFmtId="189" fontId="7" fillId="0" borderId="10" xfId="63" applyNumberFormat="1" applyFont="1" applyFill="1" applyBorder="1" applyAlignment="1" applyProtection="1">
      <alignment horizontal="center" vertical="center"/>
      <protection/>
    </xf>
    <xf numFmtId="189" fontId="7" fillId="0" borderId="10" xfId="50" applyNumberFormat="1" applyFont="1" applyFill="1" applyBorder="1" applyAlignment="1" applyProtection="1">
      <alignment vertical="center"/>
      <protection/>
    </xf>
    <xf numFmtId="189" fontId="7" fillId="0" borderId="10" xfId="50" applyNumberFormat="1" applyFont="1" applyFill="1" applyBorder="1" applyAlignment="1" applyProtection="1">
      <alignment horizontal="center" vertical="center"/>
      <protection/>
    </xf>
    <xf numFmtId="0" fontId="7" fillId="0" borderId="10" xfId="50" applyNumberFormat="1" applyFont="1" applyFill="1" applyBorder="1" applyAlignment="1" applyProtection="1">
      <alignment vertical="center"/>
      <protection/>
    </xf>
    <xf numFmtId="189" fontId="7" fillId="0" borderId="10" xfId="62" applyNumberFormat="1" applyFont="1" applyFill="1" applyBorder="1" applyAlignment="1" applyProtection="1">
      <alignment vertical="center"/>
      <protection/>
    </xf>
    <xf numFmtId="189" fontId="7" fillId="0" borderId="10" xfId="62" applyNumberFormat="1" applyFont="1" applyFill="1" applyBorder="1" applyAlignment="1" applyProtection="1">
      <alignment horizontal="center" vertical="center"/>
      <protection/>
    </xf>
    <xf numFmtId="0" fontId="16" fillId="0" borderId="10" xfId="58" applyNumberFormat="1" applyFont="1" applyFill="1" applyBorder="1" applyAlignment="1" applyProtection="1">
      <alignment vertical="center"/>
      <protection/>
    </xf>
    <xf numFmtId="189" fontId="7" fillId="0" borderId="10" xfId="58" applyNumberFormat="1" applyFont="1" applyFill="1" applyBorder="1" applyAlignment="1" applyProtection="1">
      <alignment vertical="center"/>
      <protection/>
    </xf>
    <xf numFmtId="189" fontId="7" fillId="0" borderId="10" xfId="58" applyNumberFormat="1" applyFont="1" applyFill="1" applyBorder="1" applyAlignment="1" applyProtection="1">
      <alignment horizontal="center" vertical="center"/>
      <protection/>
    </xf>
    <xf numFmtId="0" fontId="7" fillId="0" borderId="10" xfId="59" applyNumberFormat="1" applyFont="1" applyFill="1" applyBorder="1" applyAlignment="1" applyProtection="1">
      <alignment vertical="center" wrapText="1"/>
      <protection/>
    </xf>
    <xf numFmtId="189" fontId="7" fillId="0" borderId="10" xfId="59" applyNumberFormat="1" applyFont="1" applyFill="1" applyBorder="1" applyAlignment="1" applyProtection="1">
      <alignment vertical="center"/>
      <protection/>
    </xf>
    <xf numFmtId="189" fontId="7" fillId="0" borderId="10" xfId="59" applyNumberFormat="1" applyFont="1" applyFill="1" applyBorder="1" applyAlignment="1" applyProtection="1">
      <alignment horizontal="center" vertical="center"/>
      <protection/>
    </xf>
    <xf numFmtId="0" fontId="7" fillId="0" borderId="10" xfId="57" applyNumberFormat="1" applyFont="1" applyFill="1" applyBorder="1" applyAlignment="1" applyProtection="1">
      <alignment vertical="center"/>
      <protection/>
    </xf>
    <xf numFmtId="189" fontId="7" fillId="0" borderId="10" xfId="57" applyNumberFormat="1" applyFont="1" applyFill="1" applyBorder="1" applyAlignment="1" applyProtection="1">
      <alignment vertical="center"/>
      <protection/>
    </xf>
    <xf numFmtId="189" fontId="7" fillId="0" borderId="10" xfId="57" applyNumberFormat="1" applyFont="1" applyFill="1" applyBorder="1" applyAlignment="1" applyProtection="1">
      <alignment horizontal="center" vertical="center"/>
      <protection/>
    </xf>
    <xf numFmtId="0" fontId="7" fillId="0" borderId="10" xfId="64" applyNumberFormat="1" applyFont="1" applyFill="1" applyBorder="1" applyAlignment="1" applyProtection="1">
      <alignment vertical="center"/>
      <protection/>
    </xf>
    <xf numFmtId="189" fontId="7" fillId="0" borderId="10" xfId="64" applyNumberFormat="1" applyFont="1" applyFill="1" applyBorder="1" applyAlignment="1" applyProtection="1">
      <alignment vertical="center"/>
      <protection/>
    </xf>
    <xf numFmtId="189" fontId="7" fillId="0" borderId="10" xfId="64" applyNumberFormat="1" applyFont="1" applyFill="1" applyBorder="1" applyAlignment="1" applyProtection="1">
      <alignment horizontal="center" vertical="center"/>
      <protection/>
    </xf>
    <xf numFmtId="0" fontId="16" fillId="0" borderId="10" xfId="68" applyNumberFormat="1" applyFont="1" applyFill="1" applyBorder="1" applyAlignment="1" applyProtection="1">
      <alignment vertical="center"/>
      <protection/>
    </xf>
    <xf numFmtId="189" fontId="7" fillId="0" borderId="10" xfId="68" applyNumberFormat="1" applyFont="1" applyFill="1" applyBorder="1" applyAlignment="1" applyProtection="1">
      <alignment vertical="center"/>
      <protection/>
    </xf>
    <xf numFmtId="0" fontId="7" fillId="0" borderId="10" xfId="56" applyNumberFormat="1" applyFont="1" applyFill="1" applyBorder="1" applyAlignment="1" applyProtection="1">
      <alignment vertical="center" wrapText="1"/>
      <protection/>
    </xf>
    <xf numFmtId="189" fontId="7" fillId="0" borderId="10" xfId="56" applyNumberFormat="1" applyFont="1" applyFill="1" applyBorder="1" applyAlignment="1" applyProtection="1">
      <alignment vertical="center"/>
      <protection/>
    </xf>
    <xf numFmtId="49" fontId="24" fillId="0" borderId="39" xfId="0" applyNumberFormat="1" applyFont="1" applyFill="1" applyBorder="1" applyAlignment="1" applyProtection="1">
      <alignment horizontal="center" vertical="center"/>
      <protection/>
    </xf>
    <xf numFmtId="0" fontId="26" fillId="0" borderId="39" xfId="53" applyNumberFormat="1" applyFont="1" applyFill="1" applyBorder="1" applyAlignment="1" applyProtection="1">
      <alignment vertical="center" wrapText="1"/>
      <protection/>
    </xf>
    <xf numFmtId="189" fontId="7" fillId="0" borderId="39" xfId="53" applyNumberFormat="1" applyFont="1" applyFill="1" applyBorder="1" applyAlignment="1" applyProtection="1">
      <alignment vertical="center"/>
      <protection/>
    </xf>
    <xf numFmtId="189" fontId="7" fillId="0" borderId="39" xfId="56" applyNumberFormat="1" applyFont="1" applyFill="1" applyBorder="1" applyAlignment="1" applyProtection="1">
      <alignment horizontal="center" vertical="center"/>
      <protection/>
    </xf>
    <xf numFmtId="43" fontId="66" fillId="0" borderId="39" xfId="45" applyFont="1" applyBorder="1" applyAlignment="1">
      <alignment vertical="center"/>
    </xf>
    <xf numFmtId="43" fontId="66" fillId="0" borderId="39" xfId="45" applyFont="1" applyBorder="1" applyAlignment="1">
      <alignment horizontal="center" vertical="center"/>
    </xf>
    <xf numFmtId="189" fontId="12" fillId="0" borderId="10" xfId="53" applyNumberFormat="1" applyFont="1" applyFill="1" applyBorder="1" applyAlignment="1" applyProtection="1">
      <alignment vertical="center"/>
      <protection/>
    </xf>
    <xf numFmtId="43" fontId="65" fillId="0" borderId="10" xfId="45" applyFont="1" applyBorder="1" applyAlignment="1">
      <alignment vertical="center"/>
    </xf>
    <xf numFmtId="0" fontId="66" fillId="0" borderId="17" xfId="0" applyFont="1" applyBorder="1" applyAlignment="1">
      <alignment horizontal="center" vertical="center"/>
    </xf>
    <xf numFmtId="191" fontId="66" fillId="0" borderId="17" xfId="0" applyNumberFormat="1" applyFont="1" applyBorder="1" applyAlignment="1">
      <alignment horizontal="center" vertical="center"/>
    </xf>
    <xf numFmtId="0" fontId="66" fillId="0" borderId="17" xfId="0" applyFont="1" applyBorder="1" applyAlignment="1">
      <alignment horizontal="left" vertical="center"/>
    </xf>
    <xf numFmtId="189" fontId="7" fillId="0" borderId="17" xfId="0" applyNumberFormat="1" applyFont="1" applyBorder="1" applyAlignment="1">
      <alignment vertical="center"/>
    </xf>
    <xf numFmtId="43" fontId="66" fillId="0" borderId="17" xfId="45" applyFont="1" applyBorder="1" applyAlignment="1">
      <alignment horizontal="center" vertical="center"/>
    </xf>
    <xf numFmtId="43" fontId="65" fillId="0" borderId="41" xfId="45" applyFont="1" applyBorder="1" applyAlignment="1">
      <alignment vertical="center"/>
    </xf>
    <xf numFmtId="43" fontId="65" fillId="0" borderId="41" xfId="45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/>
    </xf>
    <xf numFmtId="43" fontId="73" fillId="0" borderId="0" xfId="45" applyFont="1" applyAlignment="1">
      <alignment/>
    </xf>
    <xf numFmtId="43" fontId="66" fillId="0" borderId="0" xfId="45" applyFont="1" applyAlignment="1">
      <alignment/>
    </xf>
    <xf numFmtId="43" fontId="68" fillId="2" borderId="10" xfId="45" applyFont="1" applyFill="1" applyBorder="1" applyAlignment="1">
      <alignment horizontal="center" vertical="center" wrapText="1"/>
    </xf>
    <xf numFmtId="43" fontId="65" fillId="0" borderId="10" xfId="45" applyFont="1" applyBorder="1" applyAlignment="1">
      <alignment horizontal="center" vertical="center"/>
    </xf>
    <xf numFmtId="43" fontId="65" fillId="2" borderId="10" xfId="45" applyFont="1" applyFill="1" applyBorder="1" applyAlignment="1">
      <alignment horizontal="center" vertical="center" wrapText="1"/>
    </xf>
    <xf numFmtId="0" fontId="72" fillId="39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92" fontId="22" fillId="0" borderId="10" xfId="0" applyNumberFormat="1" applyFont="1" applyBorder="1" applyAlignment="1">
      <alignment horizontal="right" vertical="center"/>
    </xf>
    <xf numFmtId="192" fontId="22" fillId="0" borderId="10" xfId="0" applyNumberFormat="1" applyFont="1" applyBorder="1" applyAlignment="1">
      <alignment vertical="center"/>
    </xf>
    <xf numFmtId="0" fontId="6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192" fontId="72" fillId="0" borderId="10" xfId="0" applyNumberFormat="1" applyFont="1" applyBorder="1" applyAlignment="1">
      <alignment horizontal="center" vertical="center"/>
    </xf>
    <xf numFmtId="192" fontId="72" fillId="0" borderId="10" xfId="0" applyNumberFormat="1" applyFont="1" applyBorder="1" applyAlignment="1">
      <alignment vertical="center"/>
    </xf>
    <xf numFmtId="0" fontId="63" fillId="0" borderId="39" xfId="0" applyFont="1" applyBorder="1" applyAlignment="1">
      <alignment horizontal="center" vertical="center"/>
    </xf>
    <xf numFmtId="0" fontId="63" fillId="0" borderId="39" xfId="0" applyFont="1" applyBorder="1" applyAlignment="1">
      <alignment vertical="center"/>
    </xf>
    <xf numFmtId="192" fontId="22" fillId="0" borderId="39" xfId="0" applyNumberFormat="1" applyFont="1" applyBorder="1" applyAlignment="1">
      <alignment vertical="center"/>
    </xf>
    <xf numFmtId="192" fontId="72" fillId="0" borderId="41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193" fontId="63" fillId="0" borderId="0" xfId="45" applyNumberFormat="1" applyFont="1" applyAlignment="1">
      <alignment/>
    </xf>
    <xf numFmtId="194" fontId="63" fillId="0" borderId="0" xfId="0" applyNumberFormat="1" applyFont="1" applyAlignment="1">
      <alignment/>
    </xf>
    <xf numFmtId="193" fontId="72" fillId="0" borderId="0" xfId="0" applyNumberFormat="1" applyFont="1" applyAlignment="1">
      <alignment vertical="center"/>
    </xf>
    <xf numFmtId="189" fontId="63" fillId="0" borderId="0" xfId="0" applyNumberFormat="1" applyFont="1" applyAlignment="1">
      <alignment vertical="center"/>
    </xf>
    <xf numFmtId="189" fontId="63" fillId="0" borderId="0" xfId="0" applyNumberFormat="1" applyFont="1" applyAlignment="1">
      <alignment/>
    </xf>
    <xf numFmtId="0" fontId="23" fillId="0" borderId="0" xfId="70" applyNumberFormat="1" applyFont="1" applyFill="1" applyBorder="1" applyAlignment="1" applyProtection="1">
      <alignment horizontal="center"/>
      <protection/>
    </xf>
    <xf numFmtId="0" fontId="72" fillId="0" borderId="0" xfId="0" applyFont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72" fillId="0" borderId="42" xfId="0" applyFont="1" applyBorder="1" applyAlignment="1">
      <alignment horizontal="center"/>
    </xf>
    <xf numFmtId="0" fontId="72" fillId="0" borderId="43" xfId="0" applyFont="1" applyBorder="1" applyAlignment="1">
      <alignment horizontal="center"/>
    </xf>
    <xf numFmtId="0" fontId="65" fillId="0" borderId="0" xfId="55" applyFont="1" applyBorder="1" applyAlignment="1">
      <alignment horizontal="center" vertical="center"/>
      <protection/>
    </xf>
    <xf numFmtId="0" fontId="12" fillId="35" borderId="12" xfId="55" applyFont="1" applyFill="1" applyBorder="1" applyAlignment="1">
      <alignment horizontal="center"/>
      <protection/>
    </xf>
    <xf numFmtId="0" fontId="12" fillId="35" borderId="44" xfId="55" applyFont="1" applyFill="1" applyBorder="1" applyAlignment="1">
      <alignment horizontal="center"/>
      <protection/>
    </xf>
    <xf numFmtId="0" fontId="12" fillId="35" borderId="45" xfId="55" applyFont="1" applyFill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12" fillId="35" borderId="32" xfId="55" applyFont="1" applyFill="1" applyBorder="1" applyAlignment="1">
      <alignment horizontal="center"/>
      <protection/>
    </xf>
    <xf numFmtId="0" fontId="6" fillId="0" borderId="25" xfId="55" applyFont="1" applyBorder="1" applyAlignment="1">
      <alignment horizontal="center"/>
      <protection/>
    </xf>
    <xf numFmtId="0" fontId="65" fillId="0" borderId="0" xfId="55" applyFont="1" applyAlignment="1">
      <alignment horizontal="left" vertical="center"/>
      <protection/>
    </xf>
    <xf numFmtId="0" fontId="12" fillId="0" borderId="29" xfId="55" applyFont="1" applyBorder="1" applyAlignment="1">
      <alignment horizontal="center"/>
      <protection/>
    </xf>
    <xf numFmtId="0" fontId="12" fillId="0" borderId="28" xfId="55" applyFont="1" applyBorder="1" applyAlignment="1">
      <alignment horizontal="center"/>
      <protection/>
    </xf>
    <xf numFmtId="0" fontId="12" fillId="35" borderId="13" xfId="55" applyFont="1" applyFill="1" applyBorder="1" applyAlignment="1">
      <alignment horizontal="center"/>
      <protection/>
    </xf>
    <xf numFmtId="0" fontId="0" fillId="40" borderId="28" xfId="0" applyFill="1" applyBorder="1" applyAlignment="1">
      <alignment horizontal="center"/>
    </xf>
    <xf numFmtId="0" fontId="12" fillId="35" borderId="0" xfId="55" applyFont="1" applyFill="1" applyBorder="1" applyAlignment="1">
      <alignment horizontal="center"/>
      <protection/>
    </xf>
    <xf numFmtId="0" fontId="12" fillId="35" borderId="24" xfId="55" applyFont="1" applyFill="1" applyBorder="1" applyAlignment="1">
      <alignment horizontal="center"/>
      <protection/>
    </xf>
  </cellXfs>
  <cellStyles count="8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ครื่องหมายจุลภาค 2 2" xfId="35"/>
    <cellStyle name="เครื่องหมายจุลภาค 2 2 2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Comma" xfId="45"/>
    <cellStyle name="Comma [0]" xfId="46"/>
    <cellStyle name="ชื่อเรื่อง" xfId="47"/>
    <cellStyle name="ดี" xfId="48"/>
    <cellStyle name="ปกติ 11" xfId="49"/>
    <cellStyle name="ปกติ 12" xfId="50"/>
    <cellStyle name="ปกติ 15" xfId="51"/>
    <cellStyle name="ปกติ 16" xfId="52"/>
    <cellStyle name="ปกติ 17" xfId="53"/>
    <cellStyle name="ปกติ 2" xfId="54"/>
    <cellStyle name="ปกติ 2 2" xfId="55"/>
    <cellStyle name="ปกติ 20" xfId="56"/>
    <cellStyle name="ปกติ 21" xfId="57"/>
    <cellStyle name="ปกติ 23" xfId="58"/>
    <cellStyle name="ปกติ 25" xfId="59"/>
    <cellStyle name="ปกติ 28" xfId="60"/>
    <cellStyle name="ปกติ 3" xfId="61"/>
    <cellStyle name="ปกติ 30" xfId="62"/>
    <cellStyle name="ปกติ 32" xfId="63"/>
    <cellStyle name="ปกติ 33" xfId="64"/>
    <cellStyle name="ปกติ 34" xfId="65"/>
    <cellStyle name="ปกติ 4" xfId="66"/>
    <cellStyle name="ปกติ 6" xfId="67"/>
    <cellStyle name="ปกติ 7" xfId="68"/>
    <cellStyle name="ปกติ 8" xfId="69"/>
    <cellStyle name="ปกติ 9" xfId="70"/>
    <cellStyle name="ปกติ_Sheet1" xfId="71"/>
    <cellStyle name="ปกติ_Sheet1 2" xfId="72"/>
    <cellStyle name="ปกติ_Sheet2 2" xfId="73"/>
    <cellStyle name="ปกติ_ประมวลผล_2 2" xfId="74"/>
    <cellStyle name="ปกติ_ประมวลผล-เข้า 2" xfId="75"/>
    <cellStyle name="ปกติ_ประมวลผลเข้า_3 2" xfId="76"/>
    <cellStyle name="ปกติ_ประมวลออก_1" xfId="77"/>
    <cellStyle name="ปกติ_ประมวลออก_2 2" xfId="78"/>
    <cellStyle name="ป้อนค่า" xfId="79"/>
    <cellStyle name="ปานกลาง" xfId="80"/>
    <cellStyle name="ผลรวม" xfId="81"/>
    <cellStyle name="Currency" xfId="82"/>
    <cellStyle name="Currency [0]" xfId="83"/>
    <cellStyle name="ส่วนที่ถูกเน้น1" xfId="84"/>
    <cellStyle name="ส่วนที่ถูกเน้น2" xfId="85"/>
    <cellStyle name="ส่วนที่ถูกเน้น3" xfId="86"/>
    <cellStyle name="ส่วนที่ถูกเน้น4" xfId="87"/>
    <cellStyle name="ส่วนที่ถูกเน้น5" xfId="88"/>
    <cellStyle name="ส่วนที่ถูกเน้น6" xfId="89"/>
    <cellStyle name="หมายเหตุ" xfId="90"/>
    <cellStyle name="หัวเรื่อง 1" xfId="91"/>
    <cellStyle name="หัวเรื่อง 2" xfId="92"/>
    <cellStyle name="หัวเรื่อง 3" xfId="93"/>
    <cellStyle name="หัวเรื่อง 4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68"/>
  <sheetViews>
    <sheetView zoomScale="85" zoomScaleNormal="85" zoomScalePageLayoutView="0" workbookViewId="0" topLeftCell="A31">
      <selection activeCell="C30" sqref="C30"/>
    </sheetView>
  </sheetViews>
  <sheetFormatPr defaultColWidth="9.140625" defaultRowHeight="23.25" customHeight="1"/>
  <cols>
    <col min="1" max="1" width="6.7109375" style="3" customWidth="1"/>
    <col min="2" max="2" width="30.140625" style="1" customWidth="1"/>
    <col min="3" max="3" width="16.8515625" style="3" customWidth="1"/>
    <col min="4" max="4" width="17.421875" style="2" customWidth="1"/>
    <col min="5" max="5" width="24.28125" style="2" customWidth="1"/>
    <col min="6" max="6" width="9.421875" style="1" customWidth="1"/>
    <col min="7" max="7" width="54.7109375" style="1" customWidth="1"/>
    <col min="8" max="8" width="15.421875" style="1" customWidth="1"/>
    <col min="9" max="9" width="18.00390625" style="1" customWidth="1"/>
    <col min="10" max="10" width="9.421875" style="1" customWidth="1"/>
    <col min="11" max="11" width="18.421875" style="1" customWidth="1"/>
    <col min="12" max="16384" width="9.00390625" style="1" customWidth="1"/>
  </cols>
  <sheetData>
    <row r="1" spans="1:11" ht="23.25" customHeight="1">
      <c r="A1" s="6" t="s">
        <v>9</v>
      </c>
      <c r="B1" s="6"/>
      <c r="C1" s="6"/>
      <c r="D1" s="6"/>
      <c r="E1" s="6"/>
      <c r="F1" s="349" t="s">
        <v>12</v>
      </c>
      <c r="G1" s="349"/>
      <c r="H1" s="349"/>
      <c r="I1" s="349"/>
      <c r="J1" s="349"/>
      <c r="K1" s="349"/>
    </row>
    <row r="2" spans="1:11" ht="23.25" customHeight="1">
      <c r="A2" s="6" t="s">
        <v>8</v>
      </c>
      <c r="B2" s="6"/>
      <c r="C2" s="6"/>
      <c r="D2" s="6"/>
      <c r="E2" s="6"/>
      <c r="F2" s="349" t="s">
        <v>18</v>
      </c>
      <c r="G2" s="349"/>
      <c r="H2" s="349"/>
      <c r="I2" s="349"/>
      <c r="J2" s="349"/>
      <c r="K2" s="349"/>
    </row>
    <row r="3" spans="1:11" ht="23.25" customHeight="1">
      <c r="A3" s="6" t="s">
        <v>159</v>
      </c>
      <c r="B3" s="6"/>
      <c r="C3" s="6"/>
      <c r="D3" s="6"/>
      <c r="E3" s="6"/>
      <c r="F3" s="349" t="s">
        <v>96</v>
      </c>
      <c r="G3" s="349"/>
      <c r="H3" s="349"/>
      <c r="I3" s="349"/>
      <c r="J3" s="349"/>
      <c r="K3" s="349"/>
    </row>
    <row r="4" spans="6:11" ht="23.25" customHeight="1" thickBot="1">
      <c r="F4" s="16"/>
      <c r="G4" s="16"/>
      <c r="H4" s="16"/>
      <c r="I4" s="16"/>
      <c r="J4" s="16"/>
      <c r="K4" s="16"/>
    </row>
    <row r="5" spans="1:11" ht="23.25" customHeight="1" thickBot="1">
      <c r="A5" s="7" t="s">
        <v>7</v>
      </c>
      <c r="B5" s="155" t="s">
        <v>6</v>
      </c>
      <c r="C5" s="209" t="s">
        <v>5</v>
      </c>
      <c r="D5" s="150" t="s">
        <v>4</v>
      </c>
      <c r="E5" s="158" t="s">
        <v>3</v>
      </c>
      <c r="F5" s="218" t="s">
        <v>7</v>
      </c>
      <c r="G5" s="219" t="s">
        <v>13</v>
      </c>
      <c r="H5" s="238" t="s">
        <v>14</v>
      </c>
      <c r="I5" s="238" t="s">
        <v>15</v>
      </c>
      <c r="J5" s="238" t="s">
        <v>16</v>
      </c>
      <c r="K5" s="239" t="s">
        <v>17</v>
      </c>
    </row>
    <row r="6" spans="1:11" ht="23.25" customHeight="1">
      <c r="A6" s="207">
        <v>1</v>
      </c>
      <c r="B6" s="23" t="s">
        <v>97</v>
      </c>
      <c r="C6" s="210">
        <v>27101971</v>
      </c>
      <c r="D6" s="202">
        <v>15159.42</v>
      </c>
      <c r="E6" s="203">
        <f>365349125.2/1000000</f>
        <v>365.3491252</v>
      </c>
      <c r="F6" s="220">
        <v>1</v>
      </c>
      <c r="G6" s="199" t="s">
        <v>97</v>
      </c>
      <c r="H6" s="240">
        <v>15159421.278</v>
      </c>
      <c r="I6" s="241">
        <v>18701037.07</v>
      </c>
      <c r="J6" s="240" t="s">
        <v>100</v>
      </c>
      <c r="K6" s="240">
        <v>365349125.15000004</v>
      </c>
    </row>
    <row r="7" spans="1:13" ht="23.25" customHeight="1">
      <c r="A7" s="208">
        <v>2</v>
      </c>
      <c r="B7" s="23" t="s">
        <v>142</v>
      </c>
      <c r="C7" s="210">
        <v>87033371</v>
      </c>
      <c r="D7" s="204">
        <v>99.92</v>
      </c>
      <c r="E7" s="205">
        <f>52128715.79/1000000</f>
        <v>52.12871579</v>
      </c>
      <c r="F7" s="220">
        <v>2</v>
      </c>
      <c r="G7" s="199" t="s">
        <v>142</v>
      </c>
      <c r="H7" s="242">
        <v>99925</v>
      </c>
      <c r="I7" s="240">
        <v>47</v>
      </c>
      <c r="J7" s="240" t="s">
        <v>98</v>
      </c>
      <c r="K7" s="240">
        <v>52128715.79</v>
      </c>
      <c r="M7" s="3"/>
    </row>
    <row r="8" spans="1:11" ht="23.25" customHeight="1">
      <c r="A8" s="208">
        <v>3</v>
      </c>
      <c r="B8" s="198" t="s">
        <v>143</v>
      </c>
      <c r="C8" s="210">
        <v>87011011</v>
      </c>
      <c r="D8" s="202">
        <v>207.042</v>
      </c>
      <c r="E8" s="205">
        <f>20398413.5/1000000</f>
        <v>20.3984135</v>
      </c>
      <c r="F8" s="220">
        <v>3</v>
      </c>
      <c r="G8" s="199" t="s">
        <v>143</v>
      </c>
      <c r="H8" s="240">
        <v>207042</v>
      </c>
      <c r="I8" s="240">
        <v>787</v>
      </c>
      <c r="J8" s="240" t="s">
        <v>98</v>
      </c>
      <c r="K8" s="240">
        <v>20398413.5</v>
      </c>
    </row>
    <row r="9" spans="1:11" ht="23.25" customHeight="1">
      <c r="A9" s="208">
        <v>4</v>
      </c>
      <c r="B9" s="198" t="s">
        <v>112</v>
      </c>
      <c r="C9" s="210">
        <v>29224220</v>
      </c>
      <c r="D9" s="202">
        <v>219.27</v>
      </c>
      <c r="E9" s="205">
        <f>19213099.87/1000000</f>
        <v>19.21309987</v>
      </c>
      <c r="F9" s="220">
        <v>4</v>
      </c>
      <c r="G9" s="199" t="s">
        <v>112</v>
      </c>
      <c r="H9" s="240">
        <v>219270.3</v>
      </c>
      <c r="I9" s="240">
        <v>67252.3</v>
      </c>
      <c r="J9" s="240" t="s">
        <v>99</v>
      </c>
      <c r="K9" s="240">
        <v>19213099.87</v>
      </c>
    </row>
    <row r="10" spans="1:11" ht="23.25" customHeight="1">
      <c r="A10" s="208">
        <v>5</v>
      </c>
      <c r="B10" s="23" t="s">
        <v>144</v>
      </c>
      <c r="C10" s="210">
        <v>39233090</v>
      </c>
      <c r="D10" s="202">
        <v>223.465</v>
      </c>
      <c r="E10" s="205">
        <f>14586723.29/1000000</f>
        <v>14.586723289999998</v>
      </c>
      <c r="F10" s="220">
        <v>5</v>
      </c>
      <c r="G10" s="199" t="s">
        <v>144</v>
      </c>
      <c r="H10" s="240">
        <v>223465.08</v>
      </c>
      <c r="I10" s="240">
        <v>15577372</v>
      </c>
      <c r="J10" s="240" t="s">
        <v>160</v>
      </c>
      <c r="K10" s="240">
        <v>14586723.29</v>
      </c>
    </row>
    <row r="11" spans="1:11" ht="23.25" customHeight="1">
      <c r="A11" s="208">
        <v>6</v>
      </c>
      <c r="B11" s="198" t="s">
        <v>104</v>
      </c>
      <c r="C11" s="210">
        <v>68101910</v>
      </c>
      <c r="D11" s="206">
        <f>1868196/1000</f>
        <v>1868.196</v>
      </c>
      <c r="E11" s="202">
        <f>13539590.3/1000000</f>
        <v>13.5395903</v>
      </c>
      <c r="F11" s="220">
        <v>6</v>
      </c>
      <c r="G11" s="221" t="s">
        <v>104</v>
      </c>
      <c r="H11" s="243">
        <v>1868196</v>
      </c>
      <c r="I11" s="240">
        <v>294030</v>
      </c>
      <c r="J11" s="240" t="s">
        <v>98</v>
      </c>
      <c r="K11" s="240">
        <v>13539590.3</v>
      </c>
    </row>
    <row r="12" spans="1:11" ht="23.25" customHeight="1">
      <c r="A12" s="208">
        <v>7</v>
      </c>
      <c r="B12" s="198" t="s">
        <v>105</v>
      </c>
      <c r="C12" s="211">
        <v>22029990</v>
      </c>
      <c r="D12" s="202">
        <f>212358.42/1000</f>
        <v>212.35842000000002</v>
      </c>
      <c r="E12" s="202">
        <f>12399188/1000000</f>
        <v>12.399188</v>
      </c>
      <c r="F12" s="220">
        <v>7</v>
      </c>
      <c r="G12" s="221" t="s">
        <v>105</v>
      </c>
      <c r="H12" s="240">
        <v>212358.42</v>
      </c>
      <c r="I12" s="240">
        <v>195821.6</v>
      </c>
      <c r="J12" s="244" t="s">
        <v>100</v>
      </c>
      <c r="K12" s="240">
        <v>12399188</v>
      </c>
    </row>
    <row r="13" spans="1:11" ht="23.25" customHeight="1">
      <c r="A13" s="208">
        <v>8</v>
      </c>
      <c r="B13" s="198" t="s">
        <v>151</v>
      </c>
      <c r="C13" s="210">
        <v>19051000</v>
      </c>
      <c r="D13" s="202">
        <f>88483.01/1000</f>
        <v>88.48301</v>
      </c>
      <c r="E13" s="202">
        <f>12319483.5/1000000</f>
        <v>12.3194835</v>
      </c>
      <c r="F13" s="220">
        <v>8</v>
      </c>
      <c r="G13" s="221" t="s">
        <v>108</v>
      </c>
      <c r="H13" s="240">
        <v>88483.01</v>
      </c>
      <c r="I13" s="240">
        <v>71778.32</v>
      </c>
      <c r="J13" s="244" t="s">
        <v>99</v>
      </c>
      <c r="K13" s="240">
        <v>12319483.5</v>
      </c>
    </row>
    <row r="14" spans="1:11" ht="24.75" customHeight="1">
      <c r="A14" s="208">
        <v>9</v>
      </c>
      <c r="B14" s="198" t="s">
        <v>134</v>
      </c>
      <c r="C14" s="210">
        <v>21069059</v>
      </c>
      <c r="D14" s="202">
        <f>231447/1000</f>
        <v>231.447</v>
      </c>
      <c r="E14" s="202">
        <f>12302910/1000000</f>
        <v>12.30291</v>
      </c>
      <c r="F14" s="220">
        <v>9</v>
      </c>
      <c r="G14" s="222" t="s">
        <v>134</v>
      </c>
      <c r="H14" s="240">
        <v>231447</v>
      </c>
      <c r="I14" s="243">
        <v>65735.6</v>
      </c>
      <c r="J14" s="244" t="s">
        <v>99</v>
      </c>
      <c r="K14" s="243">
        <v>12302910</v>
      </c>
    </row>
    <row r="15" spans="1:11" ht="23.25" customHeight="1">
      <c r="A15" s="208">
        <v>10</v>
      </c>
      <c r="B15" s="198" t="s">
        <v>150</v>
      </c>
      <c r="C15" s="201">
        <v>87032247</v>
      </c>
      <c r="D15" s="202">
        <f>31900/1000</f>
        <v>31.9</v>
      </c>
      <c r="E15" s="202">
        <f>12262448.28/1000000</f>
        <v>12.26244828</v>
      </c>
      <c r="F15" s="220">
        <v>10</v>
      </c>
      <c r="G15" s="221" t="s">
        <v>150</v>
      </c>
      <c r="H15" s="240">
        <v>31900</v>
      </c>
      <c r="I15" s="240">
        <v>16</v>
      </c>
      <c r="J15" s="244" t="s">
        <v>98</v>
      </c>
      <c r="K15" s="240">
        <v>12262448.28</v>
      </c>
    </row>
    <row r="16" spans="1:11" ht="23.25" customHeight="1">
      <c r="A16" s="9" t="s">
        <v>2</v>
      </c>
      <c r="B16" s="154"/>
      <c r="C16" s="9"/>
      <c r="D16" s="10">
        <f>SUM(D6:D15)</f>
        <v>18341.501430000004</v>
      </c>
      <c r="E16" s="159">
        <f>SUM(E6:E15)</f>
        <v>534.49969773</v>
      </c>
      <c r="F16" s="220">
        <v>11</v>
      </c>
      <c r="G16" s="222" t="s">
        <v>107</v>
      </c>
      <c r="H16" s="244">
        <v>126389</v>
      </c>
      <c r="I16" s="240">
        <v>33820</v>
      </c>
      <c r="J16" s="240" t="s">
        <v>101</v>
      </c>
      <c r="K16" s="240">
        <v>11108195</v>
      </c>
    </row>
    <row r="17" spans="1:11" ht="23.25" customHeight="1">
      <c r="A17" s="11">
        <v>11</v>
      </c>
      <c r="B17" s="12" t="s">
        <v>1</v>
      </c>
      <c r="C17" s="12"/>
      <c r="D17" s="13">
        <v>22178.154075</v>
      </c>
      <c r="E17" s="160">
        <f>579555307.37/1000000</f>
        <v>579.55530737</v>
      </c>
      <c r="F17" s="220">
        <v>12</v>
      </c>
      <c r="G17" s="221" t="s">
        <v>114</v>
      </c>
      <c r="H17" s="240">
        <f>431260+H45</f>
        <v>448550</v>
      </c>
      <c r="I17" s="240">
        <f>445.96+I45</f>
        <v>594.96</v>
      </c>
      <c r="J17" s="240" t="s">
        <v>102</v>
      </c>
      <c r="K17" s="240">
        <f>7125372.33+K45</f>
        <v>11117358.629999999</v>
      </c>
    </row>
    <row r="18" spans="1:11" ht="23.25" customHeight="1">
      <c r="A18" s="14" t="s">
        <v>0</v>
      </c>
      <c r="B18" s="14"/>
      <c r="C18" s="14"/>
      <c r="D18" s="216">
        <f>40519655.505/1000</f>
        <v>40519.655505</v>
      </c>
      <c r="E18" s="216">
        <f>1114055005.1/1000000</f>
        <v>1114.0550051</v>
      </c>
      <c r="F18" s="220">
        <v>13</v>
      </c>
      <c r="G18" s="221" t="s">
        <v>106</v>
      </c>
      <c r="H18" s="240">
        <v>1311850.35</v>
      </c>
      <c r="I18" s="240">
        <v>1311850.35</v>
      </c>
      <c r="J18" s="240" t="s">
        <v>99</v>
      </c>
      <c r="K18" s="240">
        <v>10412575.35</v>
      </c>
    </row>
    <row r="19" spans="6:11" ht="23.25" customHeight="1">
      <c r="F19" s="220">
        <v>14</v>
      </c>
      <c r="G19" s="221" t="s">
        <v>109</v>
      </c>
      <c r="H19" s="245">
        <v>522140</v>
      </c>
      <c r="I19" s="243">
        <v>6005.723</v>
      </c>
      <c r="J19" s="244" t="s">
        <v>102</v>
      </c>
      <c r="K19" s="243">
        <v>10242888.61</v>
      </c>
    </row>
    <row r="20" spans="3:11" ht="23.25" customHeight="1">
      <c r="C20" s="214"/>
      <c r="D20" s="213"/>
      <c r="E20" s="212"/>
      <c r="F20" s="220">
        <v>15</v>
      </c>
      <c r="G20" s="221" t="s">
        <v>116</v>
      </c>
      <c r="H20" s="240">
        <v>664550</v>
      </c>
      <c r="I20" s="243">
        <v>146470</v>
      </c>
      <c r="J20" s="244" t="s">
        <v>99</v>
      </c>
      <c r="K20" s="243">
        <v>10154664.82</v>
      </c>
    </row>
    <row r="21" spans="2:11" ht="23.25" customHeight="1">
      <c r="B21" s="82"/>
      <c r="C21" s="83"/>
      <c r="D21" s="156"/>
      <c r="E21" s="156"/>
      <c r="F21" s="220">
        <v>16</v>
      </c>
      <c r="G21" s="221" t="s">
        <v>110</v>
      </c>
      <c r="H21" s="243">
        <v>537394.02</v>
      </c>
      <c r="I21" s="243">
        <v>537394.02</v>
      </c>
      <c r="J21" s="244" t="s">
        <v>100</v>
      </c>
      <c r="K21" s="243">
        <v>9121385</v>
      </c>
    </row>
    <row r="22" spans="2:11" ht="23.25" customHeight="1">
      <c r="B22" s="82"/>
      <c r="C22" s="83"/>
      <c r="D22" s="164"/>
      <c r="E22" s="164" t="s">
        <v>38</v>
      </c>
      <c r="F22" s="220">
        <v>17</v>
      </c>
      <c r="G22" s="221" t="s">
        <v>111</v>
      </c>
      <c r="H22" s="240">
        <v>74872.5</v>
      </c>
      <c r="I22" s="240">
        <v>4120</v>
      </c>
      <c r="J22" s="244" t="s">
        <v>98</v>
      </c>
      <c r="K22" s="246">
        <v>8729947</v>
      </c>
    </row>
    <row r="23" spans="2:11" ht="23.25" customHeight="1">
      <c r="B23" s="82"/>
      <c r="C23" s="165"/>
      <c r="D23" s="152"/>
      <c r="E23" s="157"/>
      <c r="F23" s="4">
        <v>18</v>
      </c>
      <c r="G23" s="221" t="s">
        <v>115</v>
      </c>
      <c r="H23" s="240">
        <v>127787</v>
      </c>
      <c r="I23" s="246">
        <v>151671</v>
      </c>
      <c r="J23" s="244" t="s">
        <v>99</v>
      </c>
      <c r="K23" s="246">
        <v>8586312</v>
      </c>
    </row>
    <row r="24" spans="2:11" ht="23.25" customHeight="1">
      <c r="B24" s="82"/>
      <c r="C24" s="83"/>
      <c r="D24" s="151"/>
      <c r="E24" s="151"/>
      <c r="F24" s="220">
        <v>19</v>
      </c>
      <c r="G24" s="221" t="s">
        <v>136</v>
      </c>
      <c r="H24" s="240">
        <v>19217</v>
      </c>
      <c r="I24" s="240">
        <v>4946</v>
      </c>
      <c r="J24" s="240" t="s">
        <v>101</v>
      </c>
      <c r="K24" s="240">
        <v>8118544.5</v>
      </c>
    </row>
    <row r="25" spans="2:11" ht="23.25" customHeight="1">
      <c r="B25" s="82"/>
      <c r="C25" s="165"/>
      <c r="D25" s="152"/>
      <c r="E25" s="152"/>
      <c r="F25" s="220">
        <v>20</v>
      </c>
      <c r="G25" s="221" t="s">
        <v>123</v>
      </c>
      <c r="H25" s="246">
        <v>173454.62</v>
      </c>
      <c r="I25" s="240">
        <v>43902.18</v>
      </c>
      <c r="J25" s="240" t="s">
        <v>99</v>
      </c>
      <c r="K25" s="240">
        <v>7754500.05</v>
      </c>
    </row>
    <row r="26" spans="2:11" ht="23.25" customHeight="1">
      <c r="B26" s="82"/>
      <c r="C26" s="83"/>
      <c r="D26" s="153"/>
      <c r="E26" s="152"/>
      <c r="F26" s="220">
        <v>21</v>
      </c>
      <c r="G26" s="221" t="s">
        <v>119</v>
      </c>
      <c r="H26" s="240">
        <v>47929.53</v>
      </c>
      <c r="I26" s="240">
        <v>1673231.57</v>
      </c>
      <c r="J26" s="244" t="s">
        <v>99</v>
      </c>
      <c r="K26" s="243">
        <v>7393597.32</v>
      </c>
    </row>
    <row r="27" spans="2:11" ht="23.25" customHeight="1">
      <c r="B27" s="82"/>
      <c r="C27" s="83"/>
      <c r="D27" s="151"/>
      <c r="E27" s="151"/>
      <c r="F27" s="220">
        <v>22</v>
      </c>
      <c r="G27" s="221" t="s">
        <v>113</v>
      </c>
      <c r="H27" s="240">
        <v>67282</v>
      </c>
      <c r="I27" s="240">
        <v>67843</v>
      </c>
      <c r="J27" s="240" t="s">
        <v>99</v>
      </c>
      <c r="K27" s="240">
        <v>7185510.52</v>
      </c>
    </row>
    <row r="28" spans="6:11" ht="23.25" customHeight="1">
      <c r="F28" s="220">
        <v>23</v>
      </c>
      <c r="G28" s="223" t="s">
        <v>137</v>
      </c>
      <c r="H28" s="247">
        <v>23000</v>
      </c>
      <c r="I28" s="240">
        <v>200</v>
      </c>
      <c r="J28" s="240" t="s">
        <v>98</v>
      </c>
      <c r="K28" s="246">
        <v>7098200</v>
      </c>
    </row>
    <row r="29" spans="6:11" ht="23.25" customHeight="1">
      <c r="F29" s="220">
        <v>24</v>
      </c>
      <c r="G29" s="221" t="s">
        <v>146</v>
      </c>
      <c r="H29" s="243">
        <v>56529.83</v>
      </c>
      <c r="I29" s="243">
        <v>50639.57</v>
      </c>
      <c r="J29" s="244" t="s">
        <v>99</v>
      </c>
      <c r="K29" s="243">
        <v>7046859.91</v>
      </c>
    </row>
    <row r="30" spans="6:11" ht="23.25" customHeight="1">
      <c r="F30" s="220">
        <v>25</v>
      </c>
      <c r="G30" s="221" t="s">
        <v>138</v>
      </c>
      <c r="H30" s="240">
        <v>75909</v>
      </c>
      <c r="I30" s="240">
        <v>75909</v>
      </c>
      <c r="J30" s="244" t="s">
        <v>99</v>
      </c>
      <c r="K30" s="240">
        <v>7036605</v>
      </c>
    </row>
    <row r="31" spans="6:11" ht="23.25" customHeight="1">
      <c r="F31" s="220">
        <v>26</v>
      </c>
      <c r="G31" s="221" t="s">
        <v>117</v>
      </c>
      <c r="H31" s="243">
        <v>17160</v>
      </c>
      <c r="I31" s="240">
        <v>16</v>
      </c>
      <c r="J31" s="244" t="s">
        <v>98</v>
      </c>
      <c r="K31" s="240">
        <v>6829618.16</v>
      </c>
    </row>
    <row r="32" spans="1:11" ht="23.25" customHeight="1">
      <c r="A32" s="6" t="s">
        <v>9</v>
      </c>
      <c r="B32" s="6"/>
      <c r="C32" s="6"/>
      <c r="D32" s="6"/>
      <c r="E32" s="6"/>
      <c r="F32" s="220">
        <v>27</v>
      </c>
      <c r="G32" s="221" t="s">
        <v>118</v>
      </c>
      <c r="H32" s="240">
        <v>21910</v>
      </c>
      <c r="I32" s="243">
        <v>221</v>
      </c>
      <c r="J32" s="244" t="s">
        <v>98</v>
      </c>
      <c r="K32" s="243">
        <v>6752753.2</v>
      </c>
    </row>
    <row r="33" spans="1:11" ht="23.25" customHeight="1">
      <c r="A33" s="6" t="s">
        <v>8</v>
      </c>
      <c r="B33" s="6"/>
      <c r="C33" s="6"/>
      <c r="D33" s="6"/>
      <c r="E33" s="6"/>
      <c r="F33" s="220">
        <v>28</v>
      </c>
      <c r="G33" s="221" t="s">
        <v>120</v>
      </c>
      <c r="H33" s="243">
        <v>510000</v>
      </c>
      <c r="I33" s="243">
        <v>510</v>
      </c>
      <c r="J33" s="244" t="s">
        <v>102</v>
      </c>
      <c r="K33" s="243">
        <v>6580443.88</v>
      </c>
    </row>
    <row r="34" spans="1:11" ht="23.25" customHeight="1">
      <c r="A34" s="6" t="s">
        <v>95</v>
      </c>
      <c r="B34" s="6"/>
      <c r="C34" s="6"/>
      <c r="D34" s="6"/>
      <c r="E34" s="6"/>
      <c r="F34" s="220">
        <v>29</v>
      </c>
      <c r="G34" s="221" t="s">
        <v>121</v>
      </c>
      <c r="H34" s="243">
        <v>40687.18</v>
      </c>
      <c r="I34" s="243">
        <v>40687.18</v>
      </c>
      <c r="J34" s="244" t="s">
        <v>99</v>
      </c>
      <c r="K34" s="243">
        <v>5974204</v>
      </c>
    </row>
    <row r="35" spans="6:11" ht="23.25" customHeight="1" thickBot="1">
      <c r="F35" s="220">
        <v>30</v>
      </c>
      <c r="G35" s="224" t="s">
        <v>122</v>
      </c>
      <c r="H35" s="243">
        <v>835689</v>
      </c>
      <c r="I35" s="243">
        <v>153060</v>
      </c>
      <c r="J35" s="244" t="s">
        <v>98</v>
      </c>
      <c r="K35" s="243">
        <v>5789862.8</v>
      </c>
    </row>
    <row r="36" spans="1:11" ht="23.25" customHeight="1" thickBot="1">
      <c r="A36" s="7" t="s">
        <v>7</v>
      </c>
      <c r="B36" s="8" t="s">
        <v>6</v>
      </c>
      <c r="C36" s="8" t="s">
        <v>5</v>
      </c>
      <c r="D36" s="161" t="s">
        <v>4</v>
      </c>
      <c r="E36" s="162" t="s">
        <v>3</v>
      </c>
      <c r="F36" s="220">
        <v>31</v>
      </c>
      <c r="G36" s="221" t="s">
        <v>124</v>
      </c>
      <c r="H36" s="240">
        <v>678379.94</v>
      </c>
      <c r="I36" s="243">
        <v>678379.94</v>
      </c>
      <c r="J36" s="240" t="s">
        <v>99</v>
      </c>
      <c r="K36" s="240">
        <v>5708318.59</v>
      </c>
    </row>
    <row r="37" spans="1:11" ht="23.25" customHeight="1">
      <c r="A37" s="20">
        <v>1</v>
      </c>
      <c r="B37" s="21" t="s">
        <v>97</v>
      </c>
      <c r="C37" s="22">
        <v>27101971</v>
      </c>
      <c r="D37" s="163">
        <f>56173.981+D6</f>
        <v>71333.401</v>
      </c>
      <c r="E37" s="15">
        <f>1330.748+E6</f>
        <v>1696.0971252</v>
      </c>
      <c r="F37" s="220">
        <v>32</v>
      </c>
      <c r="G37" s="225" t="s">
        <v>116</v>
      </c>
      <c r="H37" s="240">
        <v>452110</v>
      </c>
      <c r="I37" s="243">
        <v>394110</v>
      </c>
      <c r="J37" s="244" t="s">
        <v>99</v>
      </c>
      <c r="K37" s="243">
        <v>5510909</v>
      </c>
    </row>
    <row r="38" spans="1:11" ht="23.25" customHeight="1">
      <c r="A38" s="5">
        <v>2</v>
      </c>
      <c r="B38" s="23" t="s">
        <v>152</v>
      </c>
      <c r="C38" s="4">
        <v>87033371</v>
      </c>
      <c r="D38" s="15">
        <f>412.106+D7</f>
        <v>512.026</v>
      </c>
      <c r="E38" s="15">
        <f>174.033+E7</f>
        <v>226.16171579</v>
      </c>
      <c r="F38" s="220">
        <v>33</v>
      </c>
      <c r="G38" s="225" t="s">
        <v>125</v>
      </c>
      <c r="H38" s="243">
        <v>141480</v>
      </c>
      <c r="I38" s="243">
        <v>141480</v>
      </c>
      <c r="J38" s="244" t="s">
        <v>99</v>
      </c>
      <c r="K38" s="243">
        <v>5347408</v>
      </c>
    </row>
    <row r="39" spans="1:11" ht="23.25" customHeight="1">
      <c r="A39" s="5">
        <v>3</v>
      </c>
      <c r="B39" s="23" t="s">
        <v>143</v>
      </c>
      <c r="C39" s="4">
        <v>87019310</v>
      </c>
      <c r="D39" s="15">
        <f>643.97+D8</f>
        <v>851.0120000000001</v>
      </c>
      <c r="E39" s="15">
        <f>96.189+E8</f>
        <v>116.5874135</v>
      </c>
      <c r="F39" s="220">
        <v>34</v>
      </c>
      <c r="G39" s="221" t="s">
        <v>128</v>
      </c>
      <c r="H39" s="243">
        <v>2051182</v>
      </c>
      <c r="I39" s="243">
        <v>1886744</v>
      </c>
      <c r="J39" s="244" t="s">
        <v>99</v>
      </c>
      <c r="K39" s="243">
        <v>5272024.72</v>
      </c>
    </row>
    <row r="40" spans="1:11" ht="23.25" customHeight="1">
      <c r="A40" s="5">
        <v>4</v>
      </c>
      <c r="B40" s="23" t="s">
        <v>158</v>
      </c>
      <c r="C40" s="4">
        <v>29224220</v>
      </c>
      <c r="D40" s="15">
        <f>891.601+D9</f>
        <v>1110.871</v>
      </c>
      <c r="E40" s="15">
        <f>79.016+E9</f>
        <v>98.22909987</v>
      </c>
      <c r="F40" s="220">
        <v>35</v>
      </c>
      <c r="G40" s="221" t="s">
        <v>126</v>
      </c>
      <c r="H40" s="246">
        <v>373600</v>
      </c>
      <c r="I40" s="240">
        <v>373.6</v>
      </c>
      <c r="J40" s="240" t="s">
        <v>102</v>
      </c>
      <c r="K40" s="240">
        <v>5020300</v>
      </c>
    </row>
    <row r="41" spans="1:11" ht="23.25" customHeight="1">
      <c r="A41" s="5">
        <v>5</v>
      </c>
      <c r="B41" s="17" t="s">
        <v>153</v>
      </c>
      <c r="C41" s="4">
        <v>19051000</v>
      </c>
      <c r="D41" s="15">
        <f>530.321+D13</f>
        <v>618.8040100000001</v>
      </c>
      <c r="E41" s="15">
        <f>77.044+E13</f>
        <v>89.3634835</v>
      </c>
      <c r="F41" s="220">
        <v>36</v>
      </c>
      <c r="G41" s="221" t="s">
        <v>130</v>
      </c>
      <c r="H41" s="243">
        <v>422600</v>
      </c>
      <c r="I41" s="243">
        <v>394628</v>
      </c>
      <c r="J41" s="244" t="s">
        <v>99</v>
      </c>
      <c r="K41" s="243">
        <v>4977228</v>
      </c>
    </row>
    <row r="42" spans="1:11" ht="23.25" customHeight="1">
      <c r="A42" s="5">
        <v>6</v>
      </c>
      <c r="B42" s="23" t="s">
        <v>154</v>
      </c>
      <c r="C42" s="4">
        <v>39232199</v>
      </c>
      <c r="D42" s="15">
        <v>739.301</v>
      </c>
      <c r="E42" s="15">
        <v>64.593</v>
      </c>
      <c r="F42" s="220">
        <v>37</v>
      </c>
      <c r="G42" s="221" t="s">
        <v>127</v>
      </c>
      <c r="H42" s="240">
        <v>276396.174</v>
      </c>
      <c r="I42" s="243">
        <v>272937.38</v>
      </c>
      <c r="J42" s="244" t="s">
        <v>100</v>
      </c>
      <c r="K42" s="246">
        <v>4920189.52</v>
      </c>
    </row>
    <row r="43" spans="1:11" ht="23.25" customHeight="1">
      <c r="A43" s="5">
        <v>7</v>
      </c>
      <c r="B43" s="18" t="s">
        <v>155</v>
      </c>
      <c r="C43" s="4">
        <v>21069059</v>
      </c>
      <c r="D43" s="15">
        <v>922.917</v>
      </c>
      <c r="E43" s="15">
        <v>62.767</v>
      </c>
      <c r="F43" s="220">
        <v>38</v>
      </c>
      <c r="G43" s="221" t="s">
        <v>129</v>
      </c>
      <c r="H43" s="240">
        <v>586669.44</v>
      </c>
      <c r="I43" s="243">
        <v>32639.28</v>
      </c>
      <c r="J43" s="244" t="s">
        <v>103</v>
      </c>
      <c r="K43" s="243">
        <v>4803084.45</v>
      </c>
    </row>
    <row r="44" spans="1:11" ht="23.25" customHeight="1">
      <c r="A44" s="5">
        <v>8</v>
      </c>
      <c r="B44" s="23" t="s">
        <v>156</v>
      </c>
      <c r="C44" s="4">
        <v>22029950</v>
      </c>
      <c r="D44" s="15">
        <v>1975.098</v>
      </c>
      <c r="E44" s="15">
        <v>52.586000000000006</v>
      </c>
      <c r="F44" s="220">
        <v>39</v>
      </c>
      <c r="G44" s="221" t="s">
        <v>131</v>
      </c>
      <c r="H44" s="240">
        <v>60555.46</v>
      </c>
      <c r="I44" s="240">
        <v>57825.7</v>
      </c>
      <c r="J44" s="244" t="s">
        <v>99</v>
      </c>
      <c r="K44" s="243">
        <v>4454609</v>
      </c>
    </row>
    <row r="45" spans="1:11" ht="23.25" customHeight="1">
      <c r="A45" s="5">
        <v>9</v>
      </c>
      <c r="B45" s="24" t="s">
        <v>157</v>
      </c>
      <c r="C45" s="4">
        <v>23099019</v>
      </c>
      <c r="D45" s="15">
        <f>3019.212+1116.66</f>
        <v>4135.872</v>
      </c>
      <c r="E45" s="15">
        <f>38.679+15.665</f>
        <v>54.344</v>
      </c>
      <c r="F45" s="220">
        <v>40</v>
      </c>
      <c r="G45" s="221" t="s">
        <v>139</v>
      </c>
      <c r="H45" s="243">
        <v>17290</v>
      </c>
      <c r="I45" s="243">
        <v>149</v>
      </c>
      <c r="J45" s="244" t="s">
        <v>98</v>
      </c>
      <c r="K45" s="243">
        <v>3991986.3</v>
      </c>
    </row>
    <row r="46" spans="1:11" ht="23.25" customHeight="1">
      <c r="A46" s="5">
        <v>10</v>
      </c>
      <c r="B46" s="23" t="s">
        <v>109</v>
      </c>
      <c r="C46" s="4">
        <v>72142011</v>
      </c>
      <c r="D46" s="15">
        <f>1260.494+552.14</f>
        <v>1812.634</v>
      </c>
      <c r="E46" s="15">
        <f>23.444+10.242</f>
        <v>33.686</v>
      </c>
      <c r="F46" s="220">
        <v>41</v>
      </c>
      <c r="G46" s="221" t="s">
        <v>132</v>
      </c>
      <c r="H46" s="240">
        <v>12404</v>
      </c>
      <c r="I46" s="240">
        <v>7</v>
      </c>
      <c r="J46" s="244" t="s">
        <v>98</v>
      </c>
      <c r="K46" s="240">
        <v>3828847.22</v>
      </c>
    </row>
    <row r="47" spans="1:11" ht="23.25" customHeight="1">
      <c r="A47" s="9" t="s">
        <v>2</v>
      </c>
      <c r="B47" s="9"/>
      <c r="C47" s="9"/>
      <c r="D47" s="10">
        <f>SUM(D37:D46)</f>
        <v>84011.93601000002</v>
      </c>
      <c r="E47" s="159">
        <f>SUM(E37:E46)</f>
        <v>2494.4148378599994</v>
      </c>
      <c r="F47" s="220">
        <v>42</v>
      </c>
      <c r="G47" s="221" t="s">
        <v>147</v>
      </c>
      <c r="H47" s="240">
        <v>27950</v>
      </c>
      <c r="I47" s="240">
        <v>27292</v>
      </c>
      <c r="J47" s="240" t="s">
        <v>99</v>
      </c>
      <c r="K47" s="240">
        <v>3792066.8</v>
      </c>
    </row>
    <row r="48" spans="1:11" ht="23.25" customHeight="1">
      <c r="A48" s="11">
        <v>11</v>
      </c>
      <c r="B48" s="12" t="s">
        <v>1</v>
      </c>
      <c r="C48" s="12"/>
      <c r="D48" s="13">
        <v>66634.26398999999</v>
      </c>
      <c r="E48" s="160">
        <v>1743.2871621400009</v>
      </c>
      <c r="F48" s="220">
        <v>43</v>
      </c>
      <c r="G48" s="221" t="s">
        <v>133</v>
      </c>
      <c r="H48" s="240">
        <v>170587</v>
      </c>
      <c r="I48" s="240">
        <v>170587</v>
      </c>
      <c r="J48" s="240" t="s">
        <v>99</v>
      </c>
      <c r="K48" s="240">
        <v>3626630.25</v>
      </c>
    </row>
    <row r="49" spans="1:11" ht="23.25" customHeight="1">
      <c r="A49" s="14" t="s">
        <v>0</v>
      </c>
      <c r="B49" s="14"/>
      <c r="C49" s="14"/>
      <c r="D49" s="13">
        <v>150646.2</v>
      </c>
      <c r="E49" s="160">
        <v>4237.702</v>
      </c>
      <c r="F49" s="220">
        <v>44</v>
      </c>
      <c r="G49" s="221" t="s">
        <v>135</v>
      </c>
      <c r="H49" s="243">
        <v>2591.2</v>
      </c>
      <c r="I49" s="243">
        <v>2591.2</v>
      </c>
      <c r="J49" s="244" t="s">
        <v>99</v>
      </c>
      <c r="K49" s="243">
        <v>3518930</v>
      </c>
    </row>
    <row r="50" spans="6:11" ht="23.25" customHeight="1">
      <c r="F50" s="220">
        <v>45</v>
      </c>
      <c r="G50" s="221" t="s">
        <v>140</v>
      </c>
      <c r="H50" s="243">
        <v>38156</v>
      </c>
      <c r="I50" s="240">
        <v>38156</v>
      </c>
      <c r="J50" s="244" t="s">
        <v>99</v>
      </c>
      <c r="K50" s="243">
        <v>3459200</v>
      </c>
    </row>
    <row r="51" spans="4:11" ht="23.25" customHeight="1">
      <c r="D51" s="19"/>
      <c r="E51" s="19"/>
      <c r="F51" s="220">
        <v>46</v>
      </c>
      <c r="G51" s="221" t="s">
        <v>148</v>
      </c>
      <c r="H51" s="243">
        <v>141971.78</v>
      </c>
      <c r="I51" s="243">
        <v>10767</v>
      </c>
      <c r="J51" s="244" t="s">
        <v>98</v>
      </c>
      <c r="K51" s="243">
        <v>3411465.79</v>
      </c>
    </row>
    <row r="52" spans="6:11" ht="23.25" customHeight="1">
      <c r="F52" s="220">
        <v>47</v>
      </c>
      <c r="G52" s="221" t="s">
        <v>141</v>
      </c>
      <c r="H52" s="243">
        <v>11735</v>
      </c>
      <c r="I52" s="243">
        <v>161</v>
      </c>
      <c r="J52" s="244" t="s">
        <v>98</v>
      </c>
      <c r="K52" s="243">
        <v>3315497</v>
      </c>
    </row>
    <row r="53" spans="6:11" ht="23.25" customHeight="1">
      <c r="F53" s="226">
        <v>48</v>
      </c>
      <c r="G53" s="200" t="s">
        <v>106</v>
      </c>
      <c r="H53" s="243">
        <v>1092776.9</v>
      </c>
      <c r="I53" s="243">
        <v>252782</v>
      </c>
      <c r="J53" s="244" t="s">
        <v>98</v>
      </c>
      <c r="K53" s="243">
        <v>3220993.86</v>
      </c>
    </row>
    <row r="54" spans="6:11" ht="23.25" customHeight="1">
      <c r="F54" s="220">
        <v>49</v>
      </c>
      <c r="G54" s="215" t="s">
        <v>145</v>
      </c>
      <c r="H54" s="23">
        <v>15535.45</v>
      </c>
      <c r="I54" s="23">
        <v>15535.45</v>
      </c>
      <c r="J54" s="17" t="s">
        <v>99</v>
      </c>
      <c r="K54" s="227">
        <v>3218964</v>
      </c>
    </row>
    <row r="55" spans="6:11" ht="23.25" customHeight="1">
      <c r="F55" s="228">
        <v>50</v>
      </c>
      <c r="G55" s="1" t="s">
        <v>149</v>
      </c>
      <c r="H55" s="227">
        <v>34860</v>
      </c>
      <c r="I55" s="227">
        <v>8397</v>
      </c>
      <c r="J55" s="17" t="s">
        <v>101</v>
      </c>
      <c r="K55" s="227">
        <v>3198874.5</v>
      </c>
    </row>
    <row r="56" spans="6:11" ht="23.25" customHeight="1">
      <c r="F56" s="229" t="s">
        <v>2</v>
      </c>
      <c r="G56" s="230"/>
      <c r="H56" s="231">
        <f>SUM(H6:H55)</f>
        <v>30652639.462000005</v>
      </c>
      <c r="I56" s="231">
        <f>SUM(I6:I55)</f>
        <v>43662510.99300002</v>
      </c>
      <c r="J56" s="231"/>
      <c r="K56" s="231">
        <f>SUM(K6:K55)</f>
        <v>782131250.4300001</v>
      </c>
    </row>
    <row r="57" spans="2:11" ht="23.25" customHeight="1">
      <c r="B57" s="82"/>
      <c r="C57" s="83"/>
      <c r="F57" s="229" t="s">
        <v>1</v>
      </c>
      <c r="G57" s="230"/>
      <c r="H57" s="232">
        <f>H58-H56</f>
        <v>9867016.042999998</v>
      </c>
      <c r="I57" s="233">
        <f>I58-I56</f>
        <v>53100906.789999984</v>
      </c>
      <c r="J57" s="232"/>
      <c r="K57" s="233">
        <f>K58-K56</f>
        <v>331923754.66999984</v>
      </c>
    </row>
    <row r="58" spans="2:11" ht="24" customHeight="1">
      <c r="B58" s="82"/>
      <c r="C58" s="84"/>
      <c r="F58" s="234" t="s">
        <v>10</v>
      </c>
      <c r="G58" s="235"/>
      <c r="H58" s="236">
        <v>40519655.505</v>
      </c>
      <c r="I58" s="236">
        <v>96763417.783</v>
      </c>
      <c r="J58" s="237"/>
      <c r="K58" s="236">
        <v>1114055005.1</v>
      </c>
    </row>
    <row r="59" spans="2:3" ht="23.25" customHeight="1">
      <c r="B59" s="82"/>
      <c r="C59" s="84"/>
    </row>
    <row r="60" spans="2:3" ht="23.25" customHeight="1">
      <c r="B60" s="82"/>
      <c r="C60" s="84"/>
    </row>
    <row r="61" spans="2:11" ht="23.25" customHeight="1">
      <c r="B61" s="82"/>
      <c r="C61" s="84"/>
      <c r="H61" s="2"/>
      <c r="I61" s="2"/>
      <c r="K61" s="2"/>
    </row>
    <row r="62" spans="2:3" ht="23.25" customHeight="1">
      <c r="B62" s="82"/>
      <c r="C62" s="84"/>
    </row>
    <row r="63" spans="2:3" ht="23.25" customHeight="1">
      <c r="B63" s="82"/>
      <c r="C63" s="84"/>
    </row>
    <row r="64" spans="2:3" ht="23.25" customHeight="1">
      <c r="B64" s="82"/>
      <c r="C64" s="84"/>
    </row>
    <row r="65" spans="2:3" ht="23.25" customHeight="1">
      <c r="B65" s="82"/>
      <c r="C65" s="84"/>
    </row>
    <row r="66" spans="2:3" ht="23.25" customHeight="1">
      <c r="B66" s="82"/>
      <c r="C66" s="84"/>
    </row>
    <row r="67" spans="2:3" ht="23.25" customHeight="1">
      <c r="B67" s="82"/>
      <c r="C67" s="84"/>
    </row>
    <row r="68" spans="2:3" ht="23.25" customHeight="1">
      <c r="B68" s="82"/>
      <c r="C68" s="85"/>
    </row>
  </sheetData>
  <sheetProtection/>
  <mergeCells count="3">
    <mergeCell ref="F1:K1"/>
    <mergeCell ref="F2:K2"/>
    <mergeCell ref="F3:K3"/>
  </mergeCells>
  <hyperlinks>
    <hyperlink ref="C15"/>
  </hyperlinks>
  <printOptions/>
  <pageMargins left="0.3" right="0.1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36"/>
  <sheetViews>
    <sheetView zoomScalePageLayoutView="0" workbookViewId="0" topLeftCell="A22">
      <selection activeCell="K30" sqref="K30"/>
    </sheetView>
  </sheetViews>
  <sheetFormatPr defaultColWidth="9.140625" defaultRowHeight="15"/>
  <cols>
    <col min="1" max="1" width="6.7109375" style="0" customWidth="1"/>
    <col min="2" max="2" width="11.57421875" style="0" customWidth="1"/>
    <col min="3" max="3" width="28.28125" style="0" customWidth="1"/>
    <col min="4" max="5" width="15.00390625" style="0" customWidth="1"/>
    <col min="6" max="6" width="16.57421875" style="0" customWidth="1"/>
    <col min="7" max="7" width="14.140625" style="0" customWidth="1"/>
    <col min="8" max="8" width="15.421875" style="0" customWidth="1"/>
  </cols>
  <sheetData>
    <row r="1" spans="1:9" ht="23.25">
      <c r="A1" s="350" t="s">
        <v>165</v>
      </c>
      <c r="B1" s="350"/>
      <c r="C1" s="350"/>
      <c r="D1" s="350"/>
      <c r="E1" s="350"/>
      <c r="F1" s="350"/>
      <c r="G1" s="350"/>
      <c r="H1" s="350"/>
      <c r="I1" s="350"/>
    </row>
    <row r="2" spans="1:9" ht="23.25">
      <c r="A2" s="350" t="s">
        <v>166</v>
      </c>
      <c r="B2" s="350"/>
      <c r="C2" s="350"/>
      <c r="D2" s="350"/>
      <c r="E2" s="350"/>
      <c r="F2" s="350"/>
      <c r="G2" s="350"/>
      <c r="H2" s="350"/>
      <c r="I2" s="350"/>
    </row>
    <row r="3" spans="1:9" ht="23.25">
      <c r="A3" s="350" t="s">
        <v>167</v>
      </c>
      <c r="B3" s="350"/>
      <c r="C3" s="350"/>
      <c r="D3" s="350"/>
      <c r="E3" s="350"/>
      <c r="F3" s="350"/>
      <c r="G3" s="350"/>
      <c r="H3" s="350"/>
      <c r="I3" s="350"/>
    </row>
    <row r="4" spans="1:9" ht="33.75" customHeight="1">
      <c r="A4" s="249" t="s">
        <v>20</v>
      </c>
      <c r="B4" s="250" t="s">
        <v>168</v>
      </c>
      <c r="C4" s="249" t="s">
        <v>6</v>
      </c>
      <c r="D4" s="251" t="s">
        <v>169</v>
      </c>
      <c r="E4" s="327" t="s">
        <v>170</v>
      </c>
      <c r="F4" s="251" t="s">
        <v>171</v>
      </c>
      <c r="G4" s="251" t="s">
        <v>172</v>
      </c>
      <c r="H4" s="251" t="s">
        <v>173</v>
      </c>
      <c r="I4" s="251" t="s">
        <v>174</v>
      </c>
    </row>
    <row r="5" spans="1:9" ht="19.5" customHeight="1">
      <c r="A5" s="252">
        <v>1</v>
      </c>
      <c r="B5" s="253" t="s">
        <v>175</v>
      </c>
      <c r="C5" s="254" t="s">
        <v>176</v>
      </c>
      <c r="D5" s="255">
        <v>76227020</v>
      </c>
      <c r="E5" s="256" t="s">
        <v>99</v>
      </c>
      <c r="F5" s="255">
        <v>398631493</v>
      </c>
      <c r="G5" s="257">
        <v>0</v>
      </c>
      <c r="H5" s="257">
        <v>0</v>
      </c>
      <c r="I5" s="258"/>
    </row>
    <row r="6" spans="1:9" ht="19.5" customHeight="1">
      <c r="A6" s="252">
        <v>2</v>
      </c>
      <c r="B6" s="253">
        <v>27160000</v>
      </c>
      <c r="C6" s="259" t="s">
        <v>177</v>
      </c>
      <c r="D6" s="260">
        <v>2</v>
      </c>
      <c r="E6" s="261" t="s">
        <v>178</v>
      </c>
      <c r="F6" s="260">
        <v>39841968</v>
      </c>
      <c r="G6" s="257">
        <v>0</v>
      </c>
      <c r="H6" s="257">
        <v>2788938</v>
      </c>
      <c r="I6" s="258"/>
    </row>
    <row r="7" spans="1:9" ht="19.5" customHeight="1">
      <c r="A7" s="252">
        <v>3</v>
      </c>
      <c r="B7" s="253" t="s">
        <v>179</v>
      </c>
      <c r="C7" s="262" t="s">
        <v>180</v>
      </c>
      <c r="D7" s="263">
        <v>837500</v>
      </c>
      <c r="E7" s="264" t="s">
        <v>99</v>
      </c>
      <c r="F7" s="263">
        <v>25301524</v>
      </c>
      <c r="G7" s="257">
        <v>0</v>
      </c>
      <c r="H7" s="257">
        <v>0</v>
      </c>
      <c r="I7" s="258"/>
    </row>
    <row r="8" spans="1:9" ht="19.5" customHeight="1">
      <c r="A8" s="252">
        <v>4</v>
      </c>
      <c r="B8" s="253" t="s">
        <v>181</v>
      </c>
      <c r="C8" s="262" t="s">
        <v>182</v>
      </c>
      <c r="D8" s="265">
        <v>12769945</v>
      </c>
      <c r="E8" s="266" t="s">
        <v>99</v>
      </c>
      <c r="F8" s="265">
        <v>18154821</v>
      </c>
      <c r="G8" s="257">
        <v>0</v>
      </c>
      <c r="H8" s="257">
        <v>0</v>
      </c>
      <c r="I8" s="258"/>
    </row>
    <row r="9" spans="1:9" ht="19.5" customHeight="1">
      <c r="A9" s="267">
        <v>5</v>
      </c>
      <c r="B9" s="253">
        <v>21011292</v>
      </c>
      <c r="C9" s="268" t="s">
        <v>183</v>
      </c>
      <c r="D9" s="269">
        <v>125870.8</v>
      </c>
      <c r="E9" s="270" t="s">
        <v>99</v>
      </c>
      <c r="F9" s="269">
        <v>11668112</v>
      </c>
      <c r="G9" s="257">
        <v>0</v>
      </c>
      <c r="H9" s="257">
        <v>816769</v>
      </c>
      <c r="I9" s="258"/>
    </row>
    <row r="10" spans="1:9" ht="26.25" customHeight="1">
      <c r="A10" s="252">
        <v>6</v>
      </c>
      <c r="B10" s="253" t="s">
        <v>184</v>
      </c>
      <c r="C10" s="271" t="s">
        <v>185</v>
      </c>
      <c r="D10" s="272">
        <v>1287.2</v>
      </c>
      <c r="E10" s="270" t="s">
        <v>98</v>
      </c>
      <c r="F10" s="272">
        <v>7709895</v>
      </c>
      <c r="G10" s="257">
        <v>0</v>
      </c>
      <c r="H10" s="257">
        <v>0</v>
      </c>
      <c r="I10" s="258" t="s">
        <v>186</v>
      </c>
    </row>
    <row r="11" spans="1:9" ht="19.5" customHeight="1">
      <c r="A11" s="267">
        <v>7</v>
      </c>
      <c r="B11" s="253" t="s">
        <v>187</v>
      </c>
      <c r="C11" s="273" t="s">
        <v>188</v>
      </c>
      <c r="D11" s="274">
        <v>8000</v>
      </c>
      <c r="E11" s="275" t="s">
        <v>98</v>
      </c>
      <c r="F11" s="274">
        <v>6271500</v>
      </c>
      <c r="G11" s="257">
        <v>0</v>
      </c>
      <c r="H11" s="257">
        <v>0</v>
      </c>
      <c r="I11" s="258" t="s">
        <v>186</v>
      </c>
    </row>
    <row r="12" spans="1:9" ht="19.5" customHeight="1">
      <c r="A12" s="252">
        <v>8</v>
      </c>
      <c r="B12" s="253" t="s">
        <v>189</v>
      </c>
      <c r="C12" s="276" t="s">
        <v>190</v>
      </c>
      <c r="D12" s="277">
        <v>24680</v>
      </c>
      <c r="E12" s="278" t="s">
        <v>99</v>
      </c>
      <c r="F12" s="277">
        <v>6188590</v>
      </c>
      <c r="G12" s="257">
        <v>0</v>
      </c>
      <c r="H12" s="257">
        <v>433202</v>
      </c>
      <c r="I12" s="258"/>
    </row>
    <row r="13" spans="1:9" ht="19.5" customHeight="1">
      <c r="A13" s="267">
        <v>9</v>
      </c>
      <c r="B13" s="253" t="s">
        <v>191</v>
      </c>
      <c r="C13" s="279" t="s">
        <v>192</v>
      </c>
      <c r="D13" s="280">
        <v>20</v>
      </c>
      <c r="E13" s="281" t="s">
        <v>99</v>
      </c>
      <c r="F13" s="280">
        <v>2590000</v>
      </c>
      <c r="G13" s="257">
        <v>0</v>
      </c>
      <c r="H13" s="257">
        <v>0</v>
      </c>
      <c r="I13" s="258" t="s">
        <v>186</v>
      </c>
    </row>
    <row r="14" spans="1:9" ht="19.5" customHeight="1">
      <c r="A14" s="252">
        <v>10</v>
      </c>
      <c r="B14" s="253" t="s">
        <v>193</v>
      </c>
      <c r="C14" s="282" t="s">
        <v>194</v>
      </c>
      <c r="D14" s="283">
        <v>445773</v>
      </c>
      <c r="E14" s="284" t="s">
        <v>99</v>
      </c>
      <c r="F14" s="283">
        <v>2060018</v>
      </c>
      <c r="G14" s="257">
        <v>0</v>
      </c>
      <c r="H14" s="257">
        <v>0</v>
      </c>
      <c r="I14" s="258"/>
    </row>
    <row r="15" spans="1:9" ht="19.5" customHeight="1">
      <c r="A15" s="267">
        <v>11</v>
      </c>
      <c r="B15" s="253" t="s">
        <v>91</v>
      </c>
      <c r="C15" s="282" t="s">
        <v>195</v>
      </c>
      <c r="D15" s="285">
        <v>138000</v>
      </c>
      <c r="E15" s="286" t="s">
        <v>196</v>
      </c>
      <c r="F15" s="285">
        <v>1953947</v>
      </c>
      <c r="G15" s="257">
        <v>0</v>
      </c>
      <c r="H15" s="257">
        <v>136776</v>
      </c>
      <c r="I15" s="258"/>
    </row>
    <row r="16" spans="1:9" ht="19.5" customHeight="1">
      <c r="A16" s="252">
        <v>12</v>
      </c>
      <c r="B16" s="253" t="s">
        <v>197</v>
      </c>
      <c r="C16" s="287" t="s">
        <v>198</v>
      </c>
      <c r="D16" s="288">
        <v>1500</v>
      </c>
      <c r="E16" s="289" t="s">
        <v>99</v>
      </c>
      <c r="F16" s="288">
        <v>1911420</v>
      </c>
      <c r="G16" s="257">
        <v>0</v>
      </c>
      <c r="H16" s="257">
        <v>0</v>
      </c>
      <c r="I16" s="258" t="s">
        <v>186</v>
      </c>
    </row>
    <row r="17" spans="1:9" ht="19.5" customHeight="1">
      <c r="A17" s="267">
        <v>13</v>
      </c>
      <c r="B17" s="253" t="s">
        <v>199</v>
      </c>
      <c r="C17" s="290" t="s">
        <v>200</v>
      </c>
      <c r="D17" s="291">
        <v>75</v>
      </c>
      <c r="E17" s="292" t="s">
        <v>98</v>
      </c>
      <c r="F17" s="291">
        <v>1609960</v>
      </c>
      <c r="G17" s="257">
        <v>0</v>
      </c>
      <c r="H17" s="257">
        <v>0</v>
      </c>
      <c r="I17" s="258" t="s">
        <v>186</v>
      </c>
    </row>
    <row r="18" spans="1:9" ht="19.5" customHeight="1">
      <c r="A18" s="252">
        <v>14</v>
      </c>
      <c r="B18" s="253" t="s">
        <v>201</v>
      </c>
      <c r="C18" s="293" t="s">
        <v>202</v>
      </c>
      <c r="D18" s="294">
        <v>214000</v>
      </c>
      <c r="E18" s="295" t="s">
        <v>99</v>
      </c>
      <c r="F18" s="294">
        <v>1507497</v>
      </c>
      <c r="G18" s="257">
        <v>0</v>
      </c>
      <c r="H18" s="257">
        <v>0</v>
      </c>
      <c r="I18" s="258"/>
    </row>
    <row r="19" spans="1:9" ht="19.5" customHeight="1">
      <c r="A19" s="267">
        <v>15</v>
      </c>
      <c r="B19" s="253" t="s">
        <v>203</v>
      </c>
      <c r="C19" s="296" t="s">
        <v>204</v>
      </c>
      <c r="D19" s="297">
        <v>168412</v>
      </c>
      <c r="E19" s="298" t="s">
        <v>196</v>
      </c>
      <c r="F19" s="297">
        <v>1190835</v>
      </c>
      <c r="G19" s="257">
        <v>59540</v>
      </c>
      <c r="H19" s="257">
        <v>87526</v>
      </c>
      <c r="I19" s="258"/>
    </row>
    <row r="20" spans="1:9" ht="19.5" customHeight="1">
      <c r="A20" s="252">
        <v>16</v>
      </c>
      <c r="B20" s="253" t="s">
        <v>205</v>
      </c>
      <c r="C20" s="299" t="s">
        <v>206</v>
      </c>
      <c r="D20" s="300">
        <v>25000</v>
      </c>
      <c r="E20" s="301" t="s">
        <v>99</v>
      </c>
      <c r="F20" s="300">
        <v>1066263</v>
      </c>
      <c r="G20" s="257">
        <v>0</v>
      </c>
      <c r="H20" s="257">
        <v>74638</v>
      </c>
      <c r="I20" s="258"/>
    </row>
    <row r="21" spans="1:9" ht="19.5" customHeight="1">
      <c r="A21" s="267">
        <v>17</v>
      </c>
      <c r="B21" s="253" t="s">
        <v>207</v>
      </c>
      <c r="C21" s="302" t="s">
        <v>208</v>
      </c>
      <c r="D21" s="303">
        <v>521000</v>
      </c>
      <c r="E21" s="301" t="s">
        <v>99</v>
      </c>
      <c r="F21" s="303">
        <v>1060000</v>
      </c>
      <c r="G21" s="257">
        <v>0</v>
      </c>
      <c r="H21" s="257">
        <v>74200</v>
      </c>
      <c r="I21" s="258" t="s">
        <v>186</v>
      </c>
    </row>
    <row r="22" spans="1:9" ht="19.5" customHeight="1">
      <c r="A22" s="252">
        <v>18</v>
      </c>
      <c r="B22" s="253" t="s">
        <v>209</v>
      </c>
      <c r="C22" s="304" t="s">
        <v>210</v>
      </c>
      <c r="D22" s="305">
        <v>62.96</v>
      </c>
      <c r="E22" s="301" t="s">
        <v>99</v>
      </c>
      <c r="F22" s="305">
        <v>991975</v>
      </c>
      <c r="G22" s="257">
        <v>0</v>
      </c>
      <c r="H22" s="257">
        <v>0</v>
      </c>
      <c r="I22" s="258" t="s">
        <v>211</v>
      </c>
    </row>
    <row r="23" spans="1:9" ht="31.5" customHeight="1">
      <c r="A23" s="267">
        <v>19</v>
      </c>
      <c r="B23" s="306" t="s">
        <v>212</v>
      </c>
      <c r="C23" s="307" t="s">
        <v>213</v>
      </c>
      <c r="D23" s="308">
        <v>12</v>
      </c>
      <c r="E23" s="309" t="s">
        <v>98</v>
      </c>
      <c r="F23" s="308">
        <v>953024</v>
      </c>
      <c r="G23" s="310">
        <v>0</v>
      </c>
      <c r="H23" s="310">
        <v>0</v>
      </c>
      <c r="I23" s="311" t="s">
        <v>186</v>
      </c>
    </row>
    <row r="24" spans="1:9" ht="19.5" customHeight="1">
      <c r="A24" s="352" t="s">
        <v>2</v>
      </c>
      <c r="B24" s="353"/>
      <c r="C24" s="354"/>
      <c r="D24" s="312">
        <f>SUM(D5:D23)</f>
        <v>91508159.96</v>
      </c>
      <c r="E24" s="312"/>
      <c r="F24" s="312">
        <f>SUM(F5:F23)</f>
        <v>530662842</v>
      </c>
      <c r="G24" s="313">
        <f>SUM(G5:G23)</f>
        <v>59540</v>
      </c>
      <c r="H24" s="313">
        <f>SUM(H5:H23)</f>
        <v>4412049</v>
      </c>
      <c r="I24" s="258"/>
    </row>
    <row r="25" spans="1:9" ht="19.5" customHeight="1" thickBot="1">
      <c r="A25" s="314">
        <v>20</v>
      </c>
      <c r="B25" s="315" t="s">
        <v>214</v>
      </c>
      <c r="C25" s="316" t="s">
        <v>215</v>
      </c>
      <c r="D25" s="317">
        <f>D26-D24</f>
        <v>746523.9900000095</v>
      </c>
      <c r="E25" s="317"/>
      <c r="F25" s="317">
        <f>F26-F24</f>
        <v>9360617</v>
      </c>
      <c r="G25" s="317">
        <f>G26-G24</f>
        <v>65390</v>
      </c>
      <c r="H25" s="317">
        <f>H26-H24</f>
        <v>228843</v>
      </c>
      <c r="I25" s="318"/>
    </row>
    <row r="26" spans="1:9" ht="19.5" customHeight="1" thickBot="1">
      <c r="A26" s="355" t="s">
        <v>10</v>
      </c>
      <c r="B26" s="355"/>
      <c r="C26" s="355"/>
      <c r="D26" s="319">
        <v>92254683.95</v>
      </c>
      <c r="E26" s="319"/>
      <c r="F26" s="319">
        <v>540023459</v>
      </c>
      <c r="G26" s="319">
        <v>124930</v>
      </c>
      <c r="H26" s="319">
        <v>4640892</v>
      </c>
      <c r="I26" s="320"/>
    </row>
    <row r="27" spans="1:9" ht="19.5" customHeight="1" thickTop="1">
      <c r="A27" s="92" t="s">
        <v>216</v>
      </c>
      <c r="B27" s="321"/>
      <c r="C27" s="322"/>
      <c r="D27" s="323"/>
      <c r="E27" s="323"/>
      <c r="F27" s="323"/>
      <c r="G27" s="323"/>
      <c r="H27" s="323"/>
      <c r="I27" s="322"/>
    </row>
    <row r="28" spans="1:9" ht="19.5" customHeight="1">
      <c r="A28" s="92" t="s">
        <v>217</v>
      </c>
      <c r="B28" s="321" t="s">
        <v>218</v>
      </c>
      <c r="C28" s="322"/>
      <c r="D28" s="323"/>
      <c r="E28" s="323"/>
      <c r="F28" s="323"/>
      <c r="G28" s="323"/>
      <c r="H28" s="323"/>
      <c r="I28" s="322"/>
    </row>
    <row r="29" spans="1:9" ht="21">
      <c r="A29" s="92"/>
      <c r="B29" s="321"/>
      <c r="C29" s="322"/>
      <c r="D29" s="324"/>
      <c r="E29" s="324"/>
      <c r="F29" s="324"/>
      <c r="G29" s="324"/>
      <c r="H29" s="324"/>
      <c r="I29" s="322"/>
    </row>
    <row r="30" spans="1:9" ht="23.25">
      <c r="A30" s="350" t="s">
        <v>165</v>
      </c>
      <c r="B30" s="350"/>
      <c r="C30" s="350"/>
      <c r="D30" s="350"/>
      <c r="E30" s="350"/>
      <c r="F30" s="350"/>
      <c r="G30" s="350"/>
      <c r="H30" s="350"/>
      <c r="I30" s="350"/>
    </row>
    <row r="31" spans="1:9" ht="23.25">
      <c r="A31" s="350" t="s">
        <v>219</v>
      </c>
      <c r="B31" s="350"/>
      <c r="C31" s="350"/>
      <c r="D31" s="350"/>
      <c r="E31" s="350"/>
      <c r="F31" s="350"/>
      <c r="G31" s="350"/>
      <c r="H31" s="350"/>
      <c r="I31" s="350"/>
    </row>
    <row r="32" spans="1:9" ht="23.25">
      <c r="A32" s="350" t="s">
        <v>167</v>
      </c>
      <c r="B32" s="350"/>
      <c r="C32" s="350"/>
      <c r="D32" s="350"/>
      <c r="E32" s="350"/>
      <c r="F32" s="350"/>
      <c r="G32" s="350"/>
      <c r="H32" s="350"/>
      <c r="I32" s="350"/>
    </row>
    <row r="33" spans="1:9" ht="21">
      <c r="A33" s="249" t="s">
        <v>20</v>
      </c>
      <c r="B33" s="250" t="s">
        <v>168</v>
      </c>
      <c r="C33" s="249" t="s">
        <v>6</v>
      </c>
      <c r="D33" s="251" t="s">
        <v>169</v>
      </c>
      <c r="E33" s="325" t="s">
        <v>170</v>
      </c>
      <c r="F33" s="251" t="s">
        <v>171</v>
      </c>
      <c r="G33" s="251" t="s">
        <v>172</v>
      </c>
      <c r="H33" s="251" t="s">
        <v>173</v>
      </c>
      <c r="I33" s="251" t="s">
        <v>174</v>
      </c>
    </row>
    <row r="34" spans="1:9" ht="21">
      <c r="A34" s="257">
        <v>0</v>
      </c>
      <c r="B34" s="257">
        <v>0</v>
      </c>
      <c r="C34" s="257">
        <v>0</v>
      </c>
      <c r="D34" s="257">
        <v>0</v>
      </c>
      <c r="E34" s="255" t="s">
        <v>99</v>
      </c>
      <c r="F34" s="257">
        <v>0</v>
      </c>
      <c r="G34" s="257">
        <v>0</v>
      </c>
      <c r="H34" s="257">
        <v>0</v>
      </c>
      <c r="I34" s="258"/>
    </row>
    <row r="35" spans="1:9" ht="21">
      <c r="A35" s="351" t="s">
        <v>10</v>
      </c>
      <c r="B35" s="351"/>
      <c r="C35" s="351"/>
      <c r="D35" s="257">
        <v>0</v>
      </c>
      <c r="E35" s="313" t="s">
        <v>99</v>
      </c>
      <c r="F35" s="257">
        <v>0</v>
      </c>
      <c r="G35" s="313">
        <v>0</v>
      </c>
      <c r="H35" s="313">
        <v>0</v>
      </c>
      <c r="I35" s="326"/>
    </row>
    <row r="36" spans="1:9" ht="21">
      <c r="A36" s="92" t="s">
        <v>220</v>
      </c>
      <c r="B36" s="321"/>
      <c r="C36" s="322"/>
      <c r="D36" s="323"/>
      <c r="E36" s="323"/>
      <c r="F36" s="323"/>
      <c r="G36" s="323"/>
      <c r="H36" s="323"/>
      <c r="I36" s="322"/>
    </row>
  </sheetData>
  <sheetProtection/>
  <mergeCells count="9">
    <mergeCell ref="A31:I31"/>
    <mergeCell ref="A32:I32"/>
    <mergeCell ref="A35:C35"/>
    <mergeCell ref="A1:I1"/>
    <mergeCell ref="A2:I2"/>
    <mergeCell ref="A3:I3"/>
    <mergeCell ref="A24:C24"/>
    <mergeCell ref="A26:C26"/>
    <mergeCell ref="A30:I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2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6.8515625" style="0" customWidth="1"/>
    <col min="2" max="2" width="31.00390625" style="0" customWidth="1"/>
    <col min="3" max="3" width="16.8515625" style="0" customWidth="1"/>
    <col min="4" max="4" width="21.421875" style="0" customWidth="1"/>
  </cols>
  <sheetData>
    <row r="2" spans="1:4" ht="23.25">
      <c r="A2" s="350" t="s">
        <v>221</v>
      </c>
      <c r="B2" s="350"/>
      <c r="C2" s="350"/>
      <c r="D2" s="350"/>
    </row>
    <row r="3" spans="1:4" ht="23.25">
      <c r="A3" s="350" t="s">
        <v>222</v>
      </c>
      <c r="B3" s="350"/>
      <c r="C3" s="350"/>
      <c r="D3" s="350"/>
    </row>
    <row r="4" spans="1:4" ht="23.25">
      <c r="A4" s="350" t="s">
        <v>9</v>
      </c>
      <c r="B4" s="350"/>
      <c r="C4" s="350"/>
      <c r="D4" s="350"/>
    </row>
    <row r="5" spans="1:4" ht="19.5" customHeight="1">
      <c r="A5" s="328" t="s">
        <v>20</v>
      </c>
      <c r="B5" s="328" t="s">
        <v>6</v>
      </c>
      <c r="C5" s="328" t="s">
        <v>223</v>
      </c>
      <c r="D5" s="328" t="s">
        <v>224</v>
      </c>
    </row>
    <row r="6" spans="1:4" ht="19.5" customHeight="1">
      <c r="A6" s="329">
        <v>1</v>
      </c>
      <c r="B6" s="330" t="s">
        <v>225</v>
      </c>
      <c r="C6" s="331">
        <v>223797.87</v>
      </c>
      <c r="D6" s="332">
        <v>1193.044842</v>
      </c>
    </row>
    <row r="7" spans="1:4" ht="19.5" customHeight="1">
      <c r="A7" s="329">
        <v>2</v>
      </c>
      <c r="B7" s="330" t="s">
        <v>177</v>
      </c>
      <c r="C7" s="331">
        <v>0.01</v>
      </c>
      <c r="D7" s="332">
        <v>323.121239</v>
      </c>
    </row>
    <row r="8" spans="1:4" ht="19.5" customHeight="1">
      <c r="A8" s="329">
        <v>3</v>
      </c>
      <c r="B8" s="330" t="s">
        <v>32</v>
      </c>
      <c r="C8" s="331">
        <v>919.98</v>
      </c>
      <c r="D8" s="332">
        <v>141.930343</v>
      </c>
    </row>
    <row r="9" spans="1:4" ht="19.5" customHeight="1">
      <c r="A9" s="329">
        <v>4</v>
      </c>
      <c r="B9" s="333" t="s">
        <v>194</v>
      </c>
      <c r="C9" s="331">
        <v>9053.4</v>
      </c>
      <c r="D9" s="332">
        <v>139.910016</v>
      </c>
    </row>
    <row r="10" spans="1:4" ht="19.5" customHeight="1">
      <c r="A10" s="329">
        <v>5</v>
      </c>
      <c r="B10" s="330" t="s">
        <v>226</v>
      </c>
      <c r="C10" s="331">
        <v>94909.53</v>
      </c>
      <c r="D10" s="332">
        <v>138.92007</v>
      </c>
    </row>
    <row r="11" spans="1:4" ht="19.5" customHeight="1">
      <c r="A11" s="329">
        <v>6</v>
      </c>
      <c r="B11" s="333" t="s">
        <v>11</v>
      </c>
      <c r="C11" s="331">
        <v>766.82944</v>
      </c>
      <c r="D11" s="332">
        <v>84.483426</v>
      </c>
    </row>
    <row r="12" spans="1:4" ht="19.5" customHeight="1">
      <c r="A12" s="329">
        <v>7</v>
      </c>
      <c r="B12" s="330" t="s">
        <v>180</v>
      </c>
      <c r="C12" s="331">
        <v>2254.9</v>
      </c>
      <c r="D12" s="332">
        <v>69.271932</v>
      </c>
    </row>
    <row r="13" spans="1:4" ht="19.5" customHeight="1">
      <c r="A13" s="252">
        <v>8</v>
      </c>
      <c r="B13" s="334" t="s">
        <v>227</v>
      </c>
      <c r="C13" s="331">
        <v>2854.2</v>
      </c>
      <c r="D13" s="332">
        <v>44.094596</v>
      </c>
    </row>
    <row r="14" spans="1:4" ht="19.5" customHeight="1">
      <c r="A14" s="329">
        <v>9</v>
      </c>
      <c r="B14" s="335" t="s">
        <v>228</v>
      </c>
      <c r="C14" s="331">
        <v>153.17</v>
      </c>
      <c r="D14" s="332">
        <v>39.759879</v>
      </c>
    </row>
    <row r="15" spans="1:4" ht="19.5" customHeight="1">
      <c r="A15" s="329">
        <v>10</v>
      </c>
      <c r="B15" s="334" t="s">
        <v>185</v>
      </c>
      <c r="C15" s="331">
        <v>1.43878</v>
      </c>
      <c r="D15" s="332">
        <v>20.30693</v>
      </c>
    </row>
    <row r="16" spans="1:4" ht="19.5" customHeight="1">
      <c r="A16" s="356" t="s">
        <v>2</v>
      </c>
      <c r="B16" s="357"/>
      <c r="C16" s="336">
        <f>SUM(C6:C15)</f>
        <v>334711.3282200001</v>
      </c>
      <c r="D16" s="337">
        <f>SUM(D6:D15)</f>
        <v>2194.8432730000004</v>
      </c>
    </row>
    <row r="17" spans="1:4" ht="19.5" customHeight="1" thickBot="1">
      <c r="A17" s="338">
        <v>11</v>
      </c>
      <c r="B17" s="339" t="s">
        <v>215</v>
      </c>
      <c r="C17" s="340">
        <f>C18-C16</f>
        <v>11221.369829999923</v>
      </c>
      <c r="D17" s="340">
        <f>D18-D16</f>
        <v>157.53035399999953</v>
      </c>
    </row>
    <row r="18" spans="1:4" ht="19.5" customHeight="1" thickBot="1">
      <c r="A18" s="358" t="s">
        <v>10</v>
      </c>
      <c r="B18" s="359"/>
      <c r="C18" s="341">
        <f>345932698.05/1000</f>
        <v>345932.69805</v>
      </c>
      <c r="D18" s="341">
        <f>2352373627/1000000</f>
        <v>2352.373627</v>
      </c>
    </row>
    <row r="19" spans="1:4" ht="24" thickTop="1">
      <c r="A19" s="342"/>
      <c r="B19" s="343"/>
      <c r="C19" s="344"/>
      <c r="D19" s="345"/>
    </row>
    <row r="20" spans="1:4" ht="23.25">
      <c r="A20" s="335" t="s">
        <v>229</v>
      </c>
      <c r="B20" s="335" t="s">
        <v>230</v>
      </c>
      <c r="C20" s="346"/>
      <c r="D20" s="346"/>
    </row>
    <row r="21" spans="1:4" ht="23.25">
      <c r="A21" s="335" t="s">
        <v>217</v>
      </c>
      <c r="B21" s="335" t="s">
        <v>231</v>
      </c>
      <c r="C21" s="347"/>
      <c r="D21" s="347"/>
    </row>
    <row r="22" spans="1:4" ht="23.25">
      <c r="A22" s="342"/>
      <c r="B22" s="343"/>
      <c r="C22" s="348"/>
      <c r="D22" s="348"/>
    </row>
    <row r="23" spans="1:4" ht="23.25">
      <c r="A23" s="342"/>
      <c r="B23" s="343"/>
      <c r="C23" s="348"/>
      <c r="D23" s="348"/>
    </row>
  </sheetData>
  <sheetProtection/>
  <mergeCells count="5">
    <mergeCell ref="A2:D2"/>
    <mergeCell ref="A3:D3"/>
    <mergeCell ref="A4:D4"/>
    <mergeCell ref="A16:B16"/>
    <mergeCell ref="A18:B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BO96"/>
  <sheetViews>
    <sheetView zoomScalePageLayoutView="0" workbookViewId="0" topLeftCell="A37">
      <selection activeCell="H54" sqref="H54"/>
    </sheetView>
  </sheetViews>
  <sheetFormatPr defaultColWidth="16.7109375" defaultRowHeight="15"/>
  <cols>
    <col min="1" max="1" width="5.28125" style="54" customWidth="1"/>
    <col min="2" max="2" width="27.00390625" style="55" customWidth="1"/>
    <col min="3" max="3" width="24.7109375" style="71" customWidth="1"/>
    <col min="4" max="4" width="7.140625" style="55" customWidth="1"/>
    <col min="5" max="5" width="33.7109375" style="60" customWidth="1"/>
    <col min="6" max="6" width="20.7109375" style="65" customWidth="1"/>
    <col min="7" max="7" width="24.00390625" style="65" customWidth="1"/>
    <col min="8" max="67" width="16.7109375" style="56" customWidth="1"/>
    <col min="68" max="253" width="16.7109375" style="55" customWidth="1"/>
    <col min="254" max="254" width="5.28125" style="55" customWidth="1"/>
    <col min="255" max="255" width="23.57421875" style="55" customWidth="1"/>
    <col min="256" max="16384" width="10.00390625" style="55" customWidth="1"/>
  </cols>
  <sheetData>
    <row r="2" spans="1:67" s="26" customFormat="1" ht="23.25">
      <c r="A2" s="364" t="s">
        <v>9</v>
      </c>
      <c r="B2" s="364"/>
      <c r="C2" s="364"/>
      <c r="D2" s="364"/>
      <c r="E2" s="364"/>
      <c r="F2" s="364"/>
      <c r="G2" s="86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</row>
    <row r="3" spans="1:67" s="26" customFormat="1" ht="23.25">
      <c r="A3" s="364" t="s">
        <v>19</v>
      </c>
      <c r="B3" s="364"/>
      <c r="C3" s="364"/>
      <c r="D3" s="364"/>
      <c r="E3" s="364"/>
      <c r="F3" s="364"/>
      <c r="G3" s="183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</row>
    <row r="4" spans="1:67" s="26" customFormat="1" ht="23.25">
      <c r="A4" s="364" t="s">
        <v>161</v>
      </c>
      <c r="B4" s="364"/>
      <c r="C4" s="364"/>
      <c r="D4" s="364"/>
      <c r="E4" s="364"/>
      <c r="F4" s="364"/>
      <c r="G4" s="17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</row>
    <row r="5" spans="1:67" s="26" customFormat="1" ht="24" thickBot="1">
      <c r="A5" s="27"/>
      <c r="B5" s="366" t="s">
        <v>30</v>
      </c>
      <c r="C5" s="366"/>
      <c r="D5" s="171"/>
      <c r="E5" s="366" t="s">
        <v>27</v>
      </c>
      <c r="F5" s="366"/>
      <c r="G5" s="6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</row>
    <row r="6" spans="1:67" s="30" customFormat="1" ht="21.75" thickBot="1">
      <c r="A6" s="28" t="s">
        <v>20</v>
      </c>
      <c r="B6" s="361" t="s">
        <v>21</v>
      </c>
      <c r="C6" s="365"/>
      <c r="D6" s="28" t="s">
        <v>20</v>
      </c>
      <c r="E6" s="187" t="s">
        <v>94</v>
      </c>
      <c r="F6" s="95"/>
      <c r="G6" s="114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</row>
    <row r="7" spans="1:67" s="36" customFormat="1" ht="21.75" thickBot="1">
      <c r="A7" s="31" t="s">
        <v>23</v>
      </c>
      <c r="B7" s="32" t="s">
        <v>6</v>
      </c>
      <c r="C7" s="64" t="s">
        <v>26</v>
      </c>
      <c r="D7" s="34" t="s">
        <v>23</v>
      </c>
      <c r="E7" s="33" t="s">
        <v>6</v>
      </c>
      <c r="F7" s="64" t="s">
        <v>26</v>
      </c>
      <c r="G7" s="113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</row>
    <row r="8" spans="1:67" s="41" customFormat="1" ht="21">
      <c r="A8" s="37">
        <v>8</v>
      </c>
      <c r="B8" s="43" t="s">
        <v>31</v>
      </c>
      <c r="C8" s="174">
        <v>294492</v>
      </c>
      <c r="D8" s="39">
        <v>1</v>
      </c>
      <c r="E8" s="45" t="s">
        <v>75</v>
      </c>
      <c r="F8" s="182">
        <v>739827</v>
      </c>
      <c r="G8" s="87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</row>
    <row r="9" spans="1:7" s="46" customFormat="1" ht="21">
      <c r="A9" s="42">
        <v>10</v>
      </c>
      <c r="B9" s="43" t="s">
        <v>48</v>
      </c>
      <c r="C9" s="70">
        <v>270395</v>
      </c>
      <c r="D9" s="44">
        <v>2</v>
      </c>
      <c r="E9" s="45" t="s">
        <v>50</v>
      </c>
      <c r="F9" s="182">
        <v>282380</v>
      </c>
      <c r="G9" s="88"/>
    </row>
    <row r="10" spans="1:7" s="46" customFormat="1" ht="21">
      <c r="A10" s="42">
        <v>3</v>
      </c>
      <c r="B10" s="43" t="s">
        <v>31</v>
      </c>
      <c r="C10" s="70">
        <v>250063.5</v>
      </c>
      <c r="D10" s="44">
        <v>3</v>
      </c>
      <c r="E10" s="45" t="s">
        <v>50</v>
      </c>
      <c r="F10" s="182">
        <v>282360</v>
      </c>
      <c r="G10" s="88"/>
    </row>
    <row r="11" spans="1:7" s="25" customFormat="1" ht="21">
      <c r="A11" s="42">
        <v>59</v>
      </c>
      <c r="B11" s="47" t="s">
        <v>31</v>
      </c>
      <c r="C11" s="70">
        <v>229102.5</v>
      </c>
      <c r="D11" s="44">
        <v>4</v>
      </c>
      <c r="E11" s="45" t="s">
        <v>85</v>
      </c>
      <c r="F11" s="182">
        <v>218507</v>
      </c>
      <c r="G11" s="88"/>
    </row>
    <row r="12" spans="1:7" s="25" customFormat="1" ht="27" customHeight="1">
      <c r="A12" s="42">
        <v>62</v>
      </c>
      <c r="B12" s="43" t="s">
        <v>32</v>
      </c>
      <c r="C12" s="70">
        <v>203254.4</v>
      </c>
      <c r="D12" s="44">
        <v>5</v>
      </c>
      <c r="E12" s="62" t="s">
        <v>29</v>
      </c>
      <c r="F12" s="182">
        <v>204690</v>
      </c>
      <c r="G12" s="88"/>
    </row>
    <row r="13" spans="1:7" s="25" customFormat="1" ht="26.25" customHeight="1">
      <c r="A13" s="42">
        <v>1</v>
      </c>
      <c r="B13" s="43" t="s">
        <v>32</v>
      </c>
      <c r="C13" s="70">
        <v>194472</v>
      </c>
      <c r="D13" s="44">
        <v>6</v>
      </c>
      <c r="E13" s="179" t="s">
        <v>89</v>
      </c>
      <c r="F13" s="182">
        <v>177530</v>
      </c>
      <c r="G13" s="88"/>
    </row>
    <row r="14" spans="1:7" s="25" customFormat="1" ht="21">
      <c r="A14" s="42">
        <v>53</v>
      </c>
      <c r="B14" s="38" t="s">
        <v>40</v>
      </c>
      <c r="C14" s="68">
        <v>185342</v>
      </c>
      <c r="D14" s="44">
        <v>7</v>
      </c>
      <c r="E14" s="45" t="s">
        <v>28</v>
      </c>
      <c r="F14" s="182">
        <v>155925</v>
      </c>
      <c r="G14" s="88"/>
    </row>
    <row r="15" spans="1:7" s="25" customFormat="1" ht="21">
      <c r="A15" s="42">
        <v>24</v>
      </c>
      <c r="B15" s="43" t="s">
        <v>31</v>
      </c>
      <c r="C15" s="70">
        <v>166395</v>
      </c>
      <c r="D15" s="44">
        <v>8</v>
      </c>
      <c r="E15" s="45" t="s">
        <v>59</v>
      </c>
      <c r="F15" s="182">
        <v>94216</v>
      </c>
      <c r="G15" s="88"/>
    </row>
    <row r="16" spans="1:7" s="25" customFormat="1" ht="21">
      <c r="A16" s="42">
        <v>4</v>
      </c>
      <c r="B16" s="43" t="s">
        <v>32</v>
      </c>
      <c r="C16" s="70">
        <v>155648</v>
      </c>
      <c r="D16" s="44">
        <v>9</v>
      </c>
      <c r="E16" s="45" t="s">
        <v>85</v>
      </c>
      <c r="F16" s="182">
        <v>73393</v>
      </c>
      <c r="G16" s="88"/>
    </row>
    <row r="17" spans="1:7" s="25" customFormat="1" ht="23.25" customHeight="1">
      <c r="A17" s="42">
        <v>5</v>
      </c>
      <c r="B17" s="43" t="s">
        <v>32</v>
      </c>
      <c r="C17" s="70">
        <v>153680</v>
      </c>
      <c r="D17" s="44">
        <v>10</v>
      </c>
      <c r="E17" s="62" t="s">
        <v>59</v>
      </c>
      <c r="F17" s="182">
        <v>62503</v>
      </c>
      <c r="G17" s="88"/>
    </row>
    <row r="18" spans="1:7" s="25" customFormat="1" ht="21">
      <c r="A18" s="42">
        <v>6</v>
      </c>
      <c r="B18" s="43" t="s">
        <v>32</v>
      </c>
      <c r="C18" s="70">
        <v>140326.4</v>
      </c>
      <c r="D18" s="44">
        <v>11</v>
      </c>
      <c r="E18" s="62" t="s">
        <v>59</v>
      </c>
      <c r="F18" s="182">
        <v>61383.47</v>
      </c>
      <c r="G18" s="88"/>
    </row>
    <row r="19" spans="1:7" s="25" customFormat="1" ht="21">
      <c r="A19" s="42">
        <v>9</v>
      </c>
      <c r="B19" s="43" t="s">
        <v>31</v>
      </c>
      <c r="C19" s="70">
        <v>135157.5</v>
      </c>
      <c r="D19" s="44">
        <v>12</v>
      </c>
      <c r="E19" s="62" t="s">
        <v>37</v>
      </c>
      <c r="F19" s="182">
        <v>52552</v>
      </c>
      <c r="G19" s="88"/>
    </row>
    <row r="20" spans="1:7" s="25" customFormat="1" ht="21">
      <c r="A20" s="42">
        <v>2</v>
      </c>
      <c r="B20" s="43" t="s">
        <v>32</v>
      </c>
      <c r="C20" s="70">
        <v>116545</v>
      </c>
      <c r="D20" s="44">
        <v>13</v>
      </c>
      <c r="E20" s="62" t="s">
        <v>70</v>
      </c>
      <c r="F20" s="182">
        <v>51480</v>
      </c>
      <c r="G20" s="88"/>
    </row>
    <row r="21" spans="1:7" s="25" customFormat="1" ht="21">
      <c r="A21" s="42">
        <v>7</v>
      </c>
      <c r="B21" s="43" t="s">
        <v>32</v>
      </c>
      <c r="C21" s="70">
        <v>108040</v>
      </c>
      <c r="D21" s="44">
        <v>14</v>
      </c>
      <c r="E21" s="62" t="s">
        <v>59</v>
      </c>
      <c r="F21" s="182">
        <v>50150</v>
      </c>
      <c r="G21" s="88"/>
    </row>
    <row r="22" spans="1:7" s="25" customFormat="1" ht="21">
      <c r="A22" s="42">
        <v>61</v>
      </c>
      <c r="B22" s="43" t="s">
        <v>32</v>
      </c>
      <c r="C22" s="70">
        <v>96800</v>
      </c>
      <c r="D22" s="44">
        <v>15</v>
      </c>
      <c r="E22" s="62" t="s">
        <v>77</v>
      </c>
      <c r="F22" s="182">
        <v>50150</v>
      </c>
      <c r="G22" s="88"/>
    </row>
    <row r="23" spans="1:7" s="25" customFormat="1" ht="21">
      <c r="A23" s="42">
        <v>30</v>
      </c>
      <c r="B23" s="38" t="s">
        <v>39</v>
      </c>
      <c r="C23" s="67">
        <v>95250</v>
      </c>
      <c r="D23" s="44">
        <v>16</v>
      </c>
      <c r="E23" s="62" t="s">
        <v>55</v>
      </c>
      <c r="F23" s="182">
        <v>46678</v>
      </c>
      <c r="G23" s="88"/>
    </row>
    <row r="24" spans="1:7" s="25" customFormat="1" ht="21">
      <c r="A24" s="42">
        <v>31</v>
      </c>
      <c r="B24" s="43" t="s">
        <v>39</v>
      </c>
      <c r="C24" s="70">
        <v>95250</v>
      </c>
      <c r="D24" s="44">
        <v>17</v>
      </c>
      <c r="E24" s="62" t="s">
        <v>59</v>
      </c>
      <c r="F24" s="182">
        <v>38586.25</v>
      </c>
      <c r="G24" s="88"/>
    </row>
    <row r="25" spans="1:7" s="25" customFormat="1" ht="21">
      <c r="A25" s="42">
        <v>15</v>
      </c>
      <c r="B25" s="43" t="s">
        <v>31</v>
      </c>
      <c r="C25" s="70">
        <v>93840</v>
      </c>
      <c r="D25" s="44">
        <v>18</v>
      </c>
      <c r="E25" s="62" t="s">
        <v>61</v>
      </c>
      <c r="F25" s="182">
        <v>33486.18</v>
      </c>
      <c r="G25" s="88"/>
    </row>
    <row r="26" spans="1:7" s="25" customFormat="1" ht="21">
      <c r="A26" s="42">
        <v>13</v>
      </c>
      <c r="B26" s="43" t="s">
        <v>31</v>
      </c>
      <c r="C26" s="70">
        <v>93474.75</v>
      </c>
      <c r="D26" s="44">
        <v>19</v>
      </c>
      <c r="E26" s="62" t="s">
        <v>76</v>
      </c>
      <c r="F26" s="182">
        <v>31740</v>
      </c>
      <c r="G26" s="88"/>
    </row>
    <row r="27" spans="1:7" s="25" customFormat="1" ht="21">
      <c r="A27" s="42">
        <v>12</v>
      </c>
      <c r="B27" s="43" t="s">
        <v>31</v>
      </c>
      <c r="C27" s="70">
        <v>74957</v>
      </c>
      <c r="D27" s="44">
        <v>20</v>
      </c>
      <c r="E27" s="62" t="s">
        <v>82</v>
      </c>
      <c r="F27" s="182">
        <v>29659</v>
      </c>
      <c r="G27" s="88"/>
    </row>
    <row r="28" spans="1:7" s="25" customFormat="1" ht="21">
      <c r="A28" s="42">
        <v>19</v>
      </c>
      <c r="B28" s="43" t="s">
        <v>31</v>
      </c>
      <c r="C28" s="70">
        <v>54960</v>
      </c>
      <c r="D28" s="44">
        <v>21</v>
      </c>
      <c r="E28" s="62" t="s">
        <v>72</v>
      </c>
      <c r="F28" s="182">
        <v>27600</v>
      </c>
      <c r="G28" s="88"/>
    </row>
    <row r="29" spans="1:7" s="25" customFormat="1" ht="21">
      <c r="A29" s="42">
        <v>29</v>
      </c>
      <c r="B29" s="47" t="s">
        <v>40</v>
      </c>
      <c r="C29" s="69">
        <v>54222</v>
      </c>
      <c r="D29" s="44">
        <v>22</v>
      </c>
      <c r="E29" s="62" t="s">
        <v>54</v>
      </c>
      <c r="F29" s="182">
        <v>27500</v>
      </c>
      <c r="G29" s="88"/>
    </row>
    <row r="30" spans="1:7" s="25" customFormat="1" ht="21">
      <c r="A30" s="42">
        <v>32</v>
      </c>
      <c r="B30" s="43" t="s">
        <v>31</v>
      </c>
      <c r="C30" s="70">
        <v>53212</v>
      </c>
      <c r="D30" s="44">
        <v>23</v>
      </c>
      <c r="E30" s="62" t="s">
        <v>54</v>
      </c>
      <c r="F30" s="182">
        <v>27440</v>
      </c>
      <c r="G30" s="88"/>
    </row>
    <row r="31" spans="1:7" s="25" customFormat="1" ht="21">
      <c r="A31" s="42">
        <v>14</v>
      </c>
      <c r="B31" s="43" t="s">
        <v>32</v>
      </c>
      <c r="C31" s="70">
        <v>43216</v>
      </c>
      <c r="D31" s="44">
        <v>24</v>
      </c>
      <c r="E31" s="62" t="s">
        <v>54</v>
      </c>
      <c r="F31" s="182">
        <v>27230</v>
      </c>
      <c r="G31" s="88"/>
    </row>
    <row r="32" spans="1:7" s="25" customFormat="1" ht="21">
      <c r="A32" s="42">
        <v>16</v>
      </c>
      <c r="B32" s="43" t="s">
        <v>32</v>
      </c>
      <c r="C32" s="70">
        <v>40857</v>
      </c>
      <c r="D32" s="44">
        <v>25</v>
      </c>
      <c r="E32" s="62" t="s">
        <v>69</v>
      </c>
      <c r="F32" s="182">
        <v>26082</v>
      </c>
      <c r="G32" s="88"/>
    </row>
    <row r="33" spans="1:7" s="25" customFormat="1" ht="21">
      <c r="A33" s="42">
        <v>17</v>
      </c>
      <c r="B33" s="43" t="s">
        <v>32</v>
      </c>
      <c r="C33" s="70">
        <v>38912</v>
      </c>
      <c r="D33" s="44">
        <v>26</v>
      </c>
      <c r="E33" s="62" t="s">
        <v>54</v>
      </c>
      <c r="F33" s="182">
        <v>24660</v>
      </c>
      <c r="G33" s="88"/>
    </row>
    <row r="34" spans="1:7" s="25" customFormat="1" ht="21">
      <c r="A34" s="42">
        <v>18</v>
      </c>
      <c r="B34" s="43" t="s">
        <v>32</v>
      </c>
      <c r="C34" s="70">
        <v>38912</v>
      </c>
      <c r="D34" s="44">
        <v>27</v>
      </c>
      <c r="E34" s="62" t="s">
        <v>37</v>
      </c>
      <c r="F34" s="182">
        <v>22688</v>
      </c>
      <c r="G34" s="88"/>
    </row>
    <row r="35" spans="1:7" s="25" customFormat="1" ht="21">
      <c r="A35" s="42">
        <v>11</v>
      </c>
      <c r="B35" s="43" t="s">
        <v>32</v>
      </c>
      <c r="C35" s="70">
        <v>38848</v>
      </c>
      <c r="D35" s="44">
        <v>28</v>
      </c>
      <c r="E35" s="62" t="s">
        <v>71</v>
      </c>
      <c r="F35" s="182">
        <v>22176</v>
      </c>
      <c r="G35" s="88"/>
    </row>
    <row r="36" spans="1:7" s="25" customFormat="1" ht="21">
      <c r="A36" s="42">
        <v>58</v>
      </c>
      <c r="B36" s="38" t="s">
        <v>40</v>
      </c>
      <c r="C36" s="68">
        <v>37318</v>
      </c>
      <c r="D36" s="44">
        <v>29</v>
      </c>
      <c r="E36" s="62" t="s">
        <v>29</v>
      </c>
      <c r="F36" s="182">
        <v>20350</v>
      </c>
      <c r="G36" s="88"/>
    </row>
    <row r="37" spans="1:7" s="25" customFormat="1" ht="21">
      <c r="A37" s="42">
        <v>49</v>
      </c>
      <c r="B37" s="43" t="s">
        <v>39</v>
      </c>
      <c r="C37" s="70">
        <v>36120</v>
      </c>
      <c r="D37" s="44">
        <v>30</v>
      </c>
      <c r="E37" s="62" t="s">
        <v>58</v>
      </c>
      <c r="F37" s="182">
        <v>19980</v>
      </c>
      <c r="G37" s="88"/>
    </row>
    <row r="38" spans="1:7" s="25" customFormat="1" ht="21">
      <c r="A38" s="42">
        <v>23</v>
      </c>
      <c r="B38" s="47" t="s">
        <v>31</v>
      </c>
      <c r="C38" s="70">
        <v>31201.5</v>
      </c>
      <c r="D38" s="44">
        <v>31</v>
      </c>
      <c r="E38" s="62" t="s">
        <v>67</v>
      </c>
      <c r="F38" s="182">
        <v>19364.4</v>
      </c>
      <c r="G38" s="88"/>
    </row>
    <row r="39" spans="1:7" s="25" customFormat="1" ht="21">
      <c r="A39" s="42">
        <v>43</v>
      </c>
      <c r="B39" s="47" t="s">
        <v>31</v>
      </c>
      <c r="C39" s="70">
        <v>26548</v>
      </c>
      <c r="D39" s="44">
        <v>32</v>
      </c>
      <c r="E39" s="62" t="s">
        <v>64</v>
      </c>
      <c r="F39" s="182">
        <v>18979.1</v>
      </c>
      <c r="G39" s="88"/>
    </row>
    <row r="40" spans="1:7" s="25" customFormat="1" ht="21">
      <c r="A40" s="42">
        <v>46</v>
      </c>
      <c r="B40" s="43" t="s">
        <v>33</v>
      </c>
      <c r="C40" s="70">
        <v>25151</v>
      </c>
      <c r="D40" s="44">
        <v>33</v>
      </c>
      <c r="E40" s="62" t="s">
        <v>64</v>
      </c>
      <c r="F40" s="182">
        <v>18979.1</v>
      </c>
      <c r="G40" s="88"/>
    </row>
    <row r="41" spans="1:7" s="25" customFormat="1" ht="21">
      <c r="A41" s="42">
        <v>44</v>
      </c>
      <c r="B41" s="43" t="s">
        <v>41</v>
      </c>
      <c r="C41" s="70">
        <v>22088</v>
      </c>
      <c r="D41" s="44">
        <v>34</v>
      </c>
      <c r="E41" s="62" t="s">
        <v>61</v>
      </c>
      <c r="F41" s="182">
        <v>18842</v>
      </c>
      <c r="G41" s="88"/>
    </row>
    <row r="42" spans="1:7" s="25" customFormat="1" ht="21">
      <c r="A42" s="42">
        <v>47</v>
      </c>
      <c r="B42" s="43" t="s">
        <v>42</v>
      </c>
      <c r="C42" s="70">
        <v>22070.4</v>
      </c>
      <c r="D42" s="44">
        <v>35</v>
      </c>
      <c r="E42" s="62" t="s">
        <v>64</v>
      </c>
      <c r="F42" s="182">
        <v>18299.4</v>
      </c>
      <c r="G42" s="88"/>
    </row>
    <row r="43" spans="1:7" s="25" customFormat="1" ht="21">
      <c r="A43" s="42">
        <v>60</v>
      </c>
      <c r="B43" s="43" t="s">
        <v>31</v>
      </c>
      <c r="C43" s="70">
        <v>21800</v>
      </c>
      <c r="D43" s="44">
        <v>36</v>
      </c>
      <c r="E43" s="62" t="s">
        <v>64</v>
      </c>
      <c r="F43" s="182">
        <v>18299.4</v>
      </c>
      <c r="G43" s="88"/>
    </row>
    <row r="44" spans="1:7" s="25" customFormat="1" ht="21">
      <c r="A44" s="42">
        <v>20</v>
      </c>
      <c r="B44" s="43" t="s">
        <v>32</v>
      </c>
      <c r="C44" s="70">
        <v>21608</v>
      </c>
      <c r="D44" s="44">
        <v>37</v>
      </c>
      <c r="E44" s="62" t="s">
        <v>87</v>
      </c>
      <c r="F44" s="182">
        <v>17821.9</v>
      </c>
      <c r="G44" s="88"/>
    </row>
    <row r="45" spans="1:7" s="25" customFormat="1" ht="21">
      <c r="A45" s="42">
        <v>21</v>
      </c>
      <c r="B45" s="43" t="s">
        <v>32</v>
      </c>
      <c r="C45" s="70">
        <v>21608</v>
      </c>
      <c r="D45" s="44">
        <v>38</v>
      </c>
      <c r="E45" s="62" t="s">
        <v>61</v>
      </c>
      <c r="F45" s="182">
        <v>17160</v>
      </c>
      <c r="G45" s="88"/>
    </row>
    <row r="46" spans="1:7" s="25" customFormat="1" ht="21">
      <c r="A46" s="42">
        <v>55</v>
      </c>
      <c r="B46" s="43" t="s">
        <v>47</v>
      </c>
      <c r="C46" s="70">
        <v>20806</v>
      </c>
      <c r="D46" s="44">
        <v>39</v>
      </c>
      <c r="E46" s="62" t="s">
        <v>61</v>
      </c>
      <c r="F46" s="182">
        <v>17022.86</v>
      </c>
      <c r="G46" s="88"/>
    </row>
    <row r="47" spans="1:7" s="25" customFormat="1" ht="21">
      <c r="A47" s="42">
        <v>25</v>
      </c>
      <c r="B47" s="43" t="s">
        <v>32</v>
      </c>
      <c r="C47" s="70">
        <v>20307.2</v>
      </c>
      <c r="D47" s="44">
        <v>40</v>
      </c>
      <c r="E47" s="62" t="s">
        <v>51</v>
      </c>
      <c r="F47" s="182">
        <v>16930</v>
      </c>
      <c r="G47" s="88"/>
    </row>
    <row r="48" spans="1:7" s="25" customFormat="1" ht="21">
      <c r="A48" s="42">
        <v>26</v>
      </c>
      <c r="B48" s="43" t="s">
        <v>32</v>
      </c>
      <c r="C48" s="70">
        <v>20246.4</v>
      </c>
      <c r="D48" s="44">
        <v>41</v>
      </c>
      <c r="E48" s="62" t="s">
        <v>86</v>
      </c>
      <c r="F48" s="182">
        <v>16630</v>
      </c>
      <c r="G48" s="88"/>
    </row>
    <row r="49" spans="1:7" s="25" customFormat="1" ht="21">
      <c r="A49" s="42">
        <v>51</v>
      </c>
      <c r="B49" s="43" t="s">
        <v>45</v>
      </c>
      <c r="C49" s="70">
        <v>20154</v>
      </c>
      <c r="D49" s="44">
        <v>42</v>
      </c>
      <c r="E49" s="62" t="s">
        <v>59</v>
      </c>
      <c r="F49" s="182">
        <v>14223.8</v>
      </c>
      <c r="G49" s="88"/>
    </row>
    <row r="50" spans="1:7" s="25" customFormat="1" ht="21">
      <c r="A50" s="42">
        <v>27</v>
      </c>
      <c r="B50" s="43" t="s">
        <v>32</v>
      </c>
      <c r="C50" s="70">
        <v>19456</v>
      </c>
      <c r="D50" s="44">
        <v>43</v>
      </c>
      <c r="E50" s="62" t="s">
        <v>51</v>
      </c>
      <c r="F50" s="182">
        <v>14200</v>
      </c>
      <c r="G50" s="88"/>
    </row>
    <row r="51" spans="1:7" s="25" customFormat="1" ht="21">
      <c r="A51" s="42">
        <v>40</v>
      </c>
      <c r="B51" s="43" t="s">
        <v>31</v>
      </c>
      <c r="C51" s="70">
        <v>19006.95</v>
      </c>
      <c r="D51" s="44">
        <v>44</v>
      </c>
      <c r="E51" s="62" t="s">
        <v>63</v>
      </c>
      <c r="F51" s="182">
        <v>13530</v>
      </c>
      <c r="G51" s="88"/>
    </row>
    <row r="52" spans="1:7" s="25" customFormat="1" ht="21">
      <c r="A52" s="42">
        <v>56</v>
      </c>
      <c r="B52" s="43" t="s">
        <v>44</v>
      </c>
      <c r="C52" s="70">
        <v>16674.3</v>
      </c>
      <c r="D52" s="44">
        <v>45</v>
      </c>
      <c r="E52" s="62" t="s">
        <v>66</v>
      </c>
      <c r="F52" s="182">
        <v>13520.5</v>
      </c>
      <c r="G52" s="88"/>
    </row>
    <row r="53" spans="1:7" s="25" customFormat="1" ht="21">
      <c r="A53" s="42">
        <v>28</v>
      </c>
      <c r="B53" s="43" t="s">
        <v>34</v>
      </c>
      <c r="C53" s="70">
        <v>16616.1</v>
      </c>
      <c r="D53" s="44">
        <v>46</v>
      </c>
      <c r="E53" s="62" t="s">
        <v>81</v>
      </c>
      <c r="F53" s="182">
        <v>13464</v>
      </c>
      <c r="G53" s="88"/>
    </row>
    <row r="54" spans="1:7" s="25" customFormat="1" ht="21">
      <c r="A54" s="42">
        <v>57</v>
      </c>
      <c r="B54" s="43" t="s">
        <v>45</v>
      </c>
      <c r="C54" s="70">
        <v>13239</v>
      </c>
      <c r="D54" s="44">
        <v>47</v>
      </c>
      <c r="E54" s="62" t="s">
        <v>52</v>
      </c>
      <c r="F54" s="182">
        <v>13415</v>
      </c>
      <c r="G54" s="88"/>
    </row>
    <row r="55" spans="1:7" s="25" customFormat="1" ht="21">
      <c r="A55" s="42">
        <v>22</v>
      </c>
      <c r="B55" s="43" t="s">
        <v>32</v>
      </c>
      <c r="C55" s="70">
        <v>12140</v>
      </c>
      <c r="D55" s="44">
        <v>48</v>
      </c>
      <c r="E55" s="62" t="s">
        <v>56</v>
      </c>
      <c r="F55" s="182">
        <v>11979.1</v>
      </c>
      <c r="G55" s="88"/>
    </row>
    <row r="56" spans="1:7" s="25" customFormat="1" ht="24" customHeight="1">
      <c r="A56" s="42">
        <v>39</v>
      </c>
      <c r="B56" s="43" t="s">
        <v>32</v>
      </c>
      <c r="C56" s="70">
        <v>10780</v>
      </c>
      <c r="D56" s="44">
        <v>49</v>
      </c>
      <c r="E56" s="62" t="s">
        <v>68</v>
      </c>
      <c r="F56" s="182">
        <v>10217.5</v>
      </c>
      <c r="G56" s="88"/>
    </row>
    <row r="57" spans="1:7" s="25" customFormat="1" ht="21">
      <c r="A57" s="42">
        <v>54</v>
      </c>
      <c r="B57" s="43" t="s">
        <v>43</v>
      </c>
      <c r="C57" s="70">
        <v>8458.6</v>
      </c>
      <c r="D57" s="44">
        <v>50</v>
      </c>
      <c r="E57" s="62" t="s">
        <v>73</v>
      </c>
      <c r="F57" s="182">
        <v>9351.7</v>
      </c>
      <c r="G57" s="88"/>
    </row>
    <row r="58" spans="1:7" s="25" customFormat="1" ht="21">
      <c r="A58" s="42">
        <v>37</v>
      </c>
      <c r="B58" s="43" t="s">
        <v>11</v>
      </c>
      <c r="C58" s="70">
        <v>8100</v>
      </c>
      <c r="D58" s="44">
        <v>51</v>
      </c>
      <c r="E58" s="62" t="s">
        <v>83</v>
      </c>
      <c r="F58" s="182">
        <v>7690</v>
      </c>
      <c r="G58" s="88"/>
    </row>
    <row r="59" spans="1:7" s="25" customFormat="1" ht="21">
      <c r="A59" s="42">
        <v>38</v>
      </c>
      <c r="B59" s="43" t="s">
        <v>11</v>
      </c>
      <c r="C59" s="70">
        <v>4731.16</v>
      </c>
      <c r="D59" s="44">
        <v>52</v>
      </c>
      <c r="E59" s="62" t="s">
        <v>65</v>
      </c>
      <c r="F59" s="182">
        <v>6080</v>
      </c>
      <c r="G59" s="88"/>
    </row>
    <row r="60" spans="1:7" s="25" customFormat="1" ht="21">
      <c r="A60" s="42">
        <v>41</v>
      </c>
      <c r="B60" s="43" t="s">
        <v>32</v>
      </c>
      <c r="C60" s="70">
        <v>3636.5</v>
      </c>
      <c r="D60" s="44">
        <v>53</v>
      </c>
      <c r="E60" s="62" t="s">
        <v>49</v>
      </c>
      <c r="F60" s="182">
        <v>5732</v>
      </c>
      <c r="G60" s="88"/>
    </row>
    <row r="61" spans="1:7" s="25" customFormat="1" ht="21">
      <c r="A61" s="42">
        <v>42</v>
      </c>
      <c r="B61" s="43" t="s">
        <v>46</v>
      </c>
      <c r="C61" s="70">
        <v>2336.5</v>
      </c>
      <c r="D61" s="44">
        <v>54</v>
      </c>
      <c r="E61" s="62" t="s">
        <v>57</v>
      </c>
      <c r="F61" s="182">
        <v>5549</v>
      </c>
      <c r="G61" s="88"/>
    </row>
    <row r="62" spans="1:7" s="25" customFormat="1" ht="21">
      <c r="A62" s="42">
        <v>33</v>
      </c>
      <c r="B62" s="43" t="s">
        <v>34</v>
      </c>
      <c r="C62" s="70">
        <v>2098.2</v>
      </c>
      <c r="D62" s="44">
        <v>55</v>
      </c>
      <c r="E62" s="62" t="s">
        <v>56</v>
      </c>
      <c r="F62" s="182">
        <v>5084.1</v>
      </c>
      <c r="G62" s="88"/>
    </row>
    <row r="63" spans="1:7" s="25" customFormat="1" ht="21">
      <c r="A63" s="42">
        <v>34</v>
      </c>
      <c r="B63" s="43" t="s">
        <v>34</v>
      </c>
      <c r="C63" s="70">
        <v>1226.4</v>
      </c>
      <c r="D63" s="44">
        <v>56</v>
      </c>
      <c r="E63" s="62" t="s">
        <v>84</v>
      </c>
      <c r="F63" s="182">
        <v>2732.1</v>
      </c>
      <c r="G63" s="88"/>
    </row>
    <row r="64" spans="1:7" s="25" customFormat="1" ht="21">
      <c r="A64" s="42">
        <v>45</v>
      </c>
      <c r="B64" s="43" t="s">
        <v>34</v>
      </c>
      <c r="C64" s="70">
        <v>1083</v>
      </c>
      <c r="D64" s="44">
        <v>57</v>
      </c>
      <c r="E64" s="62" t="s">
        <v>60</v>
      </c>
      <c r="F64" s="189">
        <v>2240</v>
      </c>
      <c r="G64" s="88"/>
    </row>
    <row r="65" spans="1:7" s="25" customFormat="1" ht="21">
      <c r="A65" s="42">
        <v>48</v>
      </c>
      <c r="B65" s="43" t="s">
        <v>34</v>
      </c>
      <c r="C65" s="70">
        <v>817.2</v>
      </c>
      <c r="D65" s="44">
        <v>58</v>
      </c>
      <c r="E65" s="62" t="s">
        <v>60</v>
      </c>
      <c r="F65" s="182">
        <v>1872</v>
      </c>
      <c r="G65" s="88"/>
    </row>
    <row r="66" spans="1:7" s="25" customFormat="1" ht="21">
      <c r="A66" s="42">
        <v>50</v>
      </c>
      <c r="B66" s="38" t="s">
        <v>34</v>
      </c>
      <c r="C66" s="66">
        <v>562.5</v>
      </c>
      <c r="D66" s="44">
        <v>59</v>
      </c>
      <c r="E66" s="62" t="s">
        <v>28</v>
      </c>
      <c r="F66" s="182">
        <v>1844.4</v>
      </c>
      <c r="G66" s="88"/>
    </row>
    <row r="67" spans="1:7" s="25" customFormat="1" ht="21">
      <c r="A67" s="42">
        <v>52</v>
      </c>
      <c r="B67" s="38" t="s">
        <v>34</v>
      </c>
      <c r="C67" s="66">
        <v>470.2</v>
      </c>
      <c r="D67" s="44">
        <v>60</v>
      </c>
      <c r="E67" s="62" t="s">
        <v>78</v>
      </c>
      <c r="F67" s="182">
        <v>1191</v>
      </c>
      <c r="G67" s="88"/>
    </row>
    <row r="68" spans="1:7" s="25" customFormat="1" ht="21">
      <c r="A68" s="42">
        <v>35</v>
      </c>
      <c r="B68" s="43" t="s">
        <v>34</v>
      </c>
      <c r="C68" s="70">
        <v>224</v>
      </c>
      <c r="D68" s="44">
        <v>61</v>
      </c>
      <c r="E68" s="62" t="s">
        <v>74</v>
      </c>
      <c r="F68" s="182">
        <v>615.4</v>
      </c>
      <c r="G68" s="88"/>
    </row>
    <row r="69" spans="1:7" s="25" customFormat="1" ht="21">
      <c r="A69" s="42">
        <v>36</v>
      </c>
      <c r="B69" s="43" t="s">
        <v>34</v>
      </c>
      <c r="C69" s="70">
        <v>224</v>
      </c>
      <c r="D69" s="44">
        <v>62</v>
      </c>
      <c r="E69" s="62" t="s">
        <v>80</v>
      </c>
      <c r="F69" s="182">
        <v>300</v>
      </c>
      <c r="G69" s="88"/>
    </row>
    <row r="70" spans="1:7" s="25" customFormat="1" ht="21">
      <c r="A70" s="42"/>
      <c r="B70" s="43"/>
      <c r="C70" s="70"/>
      <c r="D70" s="44">
        <v>63</v>
      </c>
      <c r="E70" s="62" t="s">
        <v>79</v>
      </c>
      <c r="F70" s="182">
        <v>197</v>
      </c>
      <c r="G70" s="88"/>
    </row>
    <row r="71" spans="1:7" s="25" customFormat="1" ht="21">
      <c r="A71" s="42"/>
      <c r="B71" s="43"/>
      <c r="C71" s="70"/>
      <c r="D71" s="44">
        <v>64</v>
      </c>
      <c r="E71" s="62" t="s">
        <v>79</v>
      </c>
      <c r="F71" s="182">
        <v>190</v>
      </c>
      <c r="G71" s="88"/>
    </row>
    <row r="72" spans="1:7" s="25" customFormat="1" ht="21">
      <c r="A72" s="42"/>
      <c r="B72" s="43"/>
      <c r="C72" s="70"/>
      <c r="D72" s="44">
        <v>65</v>
      </c>
      <c r="E72" s="62" t="s">
        <v>62</v>
      </c>
      <c r="F72" s="182">
        <v>153</v>
      </c>
      <c r="G72" s="88"/>
    </row>
    <row r="73" spans="1:7" s="25" customFormat="1" ht="21">
      <c r="A73" s="42"/>
      <c r="B73" s="43"/>
      <c r="C73" s="70"/>
      <c r="D73" s="44">
        <v>66</v>
      </c>
      <c r="E73" s="62" t="s">
        <v>62</v>
      </c>
      <c r="F73" s="182">
        <v>150</v>
      </c>
      <c r="G73" s="88"/>
    </row>
    <row r="74" spans="1:7" s="25" customFormat="1" ht="21">
      <c r="A74" s="42"/>
      <c r="B74" s="43"/>
      <c r="C74" s="70"/>
      <c r="D74" s="44">
        <v>67</v>
      </c>
      <c r="E74" s="62" t="s">
        <v>79</v>
      </c>
      <c r="F74" s="182">
        <v>135</v>
      </c>
      <c r="G74" s="88"/>
    </row>
    <row r="75" spans="1:7" s="25" customFormat="1" ht="21">
      <c r="A75" s="42"/>
      <c r="B75" s="43"/>
      <c r="C75" s="70"/>
      <c r="D75" s="44">
        <v>68</v>
      </c>
      <c r="E75" s="62" t="s">
        <v>53</v>
      </c>
      <c r="F75" s="182">
        <v>55</v>
      </c>
      <c r="G75" s="88"/>
    </row>
    <row r="76" spans="1:7" s="25" customFormat="1" ht="21">
      <c r="A76" s="42"/>
      <c r="B76" s="43"/>
      <c r="C76" s="70"/>
      <c r="D76" s="44"/>
      <c r="E76" s="62"/>
      <c r="F76" s="182"/>
      <c r="G76" s="88"/>
    </row>
    <row r="77" spans="1:7" s="25" customFormat="1" ht="21.75" thickBot="1">
      <c r="A77" s="42"/>
      <c r="B77" s="43"/>
      <c r="C77" s="70"/>
      <c r="D77" s="44"/>
      <c r="E77" s="169"/>
      <c r="F77" s="190"/>
      <c r="G77" s="89"/>
    </row>
    <row r="78" spans="1:7" s="25" customFormat="1" ht="21.75" thickBot="1">
      <c r="A78" s="361" t="s">
        <v>2</v>
      </c>
      <c r="B78" s="362"/>
      <c r="C78" s="170">
        <f>SUM(C8:C77)</f>
        <v>4004531.1600000006</v>
      </c>
      <c r="D78" s="361" t="s">
        <v>2</v>
      </c>
      <c r="E78" s="363"/>
      <c r="F78" s="188">
        <f>SUM(F8:F77)</f>
        <v>3336941.66</v>
      </c>
      <c r="G78" s="166"/>
    </row>
    <row r="79" spans="1:7" s="29" customFormat="1" ht="21">
      <c r="A79" s="168"/>
      <c r="B79" s="53" t="s">
        <v>92</v>
      </c>
      <c r="C79" s="53"/>
      <c r="D79" s="53"/>
      <c r="E79" s="360" t="s">
        <v>162</v>
      </c>
      <c r="F79" s="360"/>
      <c r="G79" s="113"/>
    </row>
    <row r="80" spans="1:67" s="30" customFormat="1" ht="21">
      <c r="A80" s="168"/>
      <c r="B80" s="168"/>
      <c r="C80" s="168"/>
      <c r="D80" s="168"/>
      <c r="E80" s="168"/>
      <c r="F80" s="168"/>
      <c r="G80" s="167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</row>
    <row r="81" spans="1:67" s="51" customFormat="1" ht="21">
      <c r="A81" s="168"/>
      <c r="B81" s="168"/>
      <c r="C81" s="168"/>
      <c r="D81" s="168"/>
      <c r="E81" s="168"/>
      <c r="F81" s="168"/>
      <c r="G81" s="217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</row>
    <row r="82" spans="1:67" s="53" customFormat="1" ht="21">
      <c r="A82" s="168"/>
      <c r="B82" s="168"/>
      <c r="C82" s="168"/>
      <c r="D82" s="168"/>
      <c r="E82" s="168"/>
      <c r="F82" s="168"/>
      <c r="G82" s="17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</row>
    <row r="83" spans="1:7" ht="21">
      <c r="A83" s="168"/>
      <c r="B83" s="168"/>
      <c r="C83" s="168"/>
      <c r="D83" s="168"/>
      <c r="E83" s="168"/>
      <c r="F83" s="168"/>
      <c r="G83" s="172"/>
    </row>
    <row r="84" spans="1:6" ht="21">
      <c r="A84" s="168"/>
      <c r="B84" s="168"/>
      <c r="C84" s="168"/>
      <c r="D84" s="168"/>
      <c r="E84" s="168"/>
      <c r="F84" s="168"/>
    </row>
    <row r="85" ht="21">
      <c r="E85" s="58"/>
    </row>
    <row r="86" ht="21">
      <c r="E86" s="57"/>
    </row>
    <row r="94" spans="2:3" ht="21">
      <c r="B94" s="59"/>
      <c r="C94" s="72"/>
    </row>
    <row r="95" spans="2:3" ht="21">
      <c r="B95" s="59"/>
      <c r="C95" s="72"/>
    </row>
    <row r="96" ht="21">
      <c r="B96" s="61"/>
    </row>
  </sheetData>
  <sheetProtection/>
  <mergeCells count="9">
    <mergeCell ref="E79:F79"/>
    <mergeCell ref="A78:B78"/>
    <mergeCell ref="D78:E78"/>
    <mergeCell ref="A2:F2"/>
    <mergeCell ref="A3:F3"/>
    <mergeCell ref="A4:F4"/>
    <mergeCell ref="B6:C6"/>
    <mergeCell ref="B5:C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P40"/>
  <sheetViews>
    <sheetView tabSelected="1" zoomScalePageLayoutView="0" workbookViewId="0" topLeftCell="B4">
      <selection activeCell="L28" sqref="L28"/>
    </sheetView>
  </sheetViews>
  <sheetFormatPr defaultColWidth="9.140625" defaultRowHeight="15"/>
  <cols>
    <col min="1" max="1" width="0.2890625" style="0" customWidth="1"/>
    <col min="2" max="2" width="5.7109375" style="0" customWidth="1"/>
    <col min="3" max="3" width="28.7109375" style="0" customWidth="1"/>
    <col min="4" max="4" width="15.421875" style="0" customWidth="1"/>
    <col min="5" max="5" width="12.140625" style="0" customWidth="1"/>
    <col min="6" max="6" width="11.421875" style="0" customWidth="1"/>
    <col min="7" max="7" width="5.421875" style="0" customWidth="1"/>
    <col min="8" max="8" width="29.140625" style="0" customWidth="1"/>
    <col min="9" max="9" width="15.7109375" style="0" customWidth="1"/>
    <col min="10" max="10" width="14.57421875" style="0" customWidth="1"/>
    <col min="11" max="11" width="13.421875" style="0" customWidth="1"/>
    <col min="12" max="12" width="15.57421875" style="0" customWidth="1"/>
  </cols>
  <sheetData>
    <row r="1" spans="1:12" ht="23.25">
      <c r="A1" s="364" t="s">
        <v>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2" ht="23.25">
      <c r="A2" s="364" t="s">
        <v>19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</row>
    <row r="3" spans="1:12" ht="23.25">
      <c r="A3" s="364" t="s">
        <v>88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</row>
    <row r="4" spans="2:13" ht="24" thickBot="1">
      <c r="B4" s="86"/>
      <c r="C4" s="86"/>
      <c r="D4" s="86"/>
      <c r="E4" s="86"/>
      <c r="F4" s="110"/>
      <c r="G4" s="86"/>
      <c r="H4" s="86"/>
      <c r="I4" s="86"/>
      <c r="J4" s="86"/>
      <c r="K4" s="110"/>
      <c r="L4" s="86"/>
      <c r="M4" s="86"/>
    </row>
    <row r="5" spans="2:11" ht="25.5" customHeight="1" thickBot="1">
      <c r="B5" s="28" t="s">
        <v>20</v>
      </c>
      <c r="C5" s="370" t="s">
        <v>21</v>
      </c>
      <c r="D5" s="370"/>
      <c r="E5" s="370"/>
      <c r="F5" s="370"/>
      <c r="G5" s="370"/>
      <c r="H5" s="28" t="s">
        <v>20</v>
      </c>
      <c r="I5" s="95" t="s">
        <v>22</v>
      </c>
      <c r="J5" s="180"/>
      <c r="K5" s="95"/>
    </row>
    <row r="6" spans="2:11" ht="25.5" customHeight="1" thickBot="1">
      <c r="B6" s="34" t="s">
        <v>23</v>
      </c>
      <c r="C6" s="173" t="s">
        <v>6</v>
      </c>
      <c r="D6" s="173" t="s">
        <v>5</v>
      </c>
      <c r="E6" s="73" t="s">
        <v>4</v>
      </c>
      <c r="F6" s="178" t="s">
        <v>164</v>
      </c>
      <c r="G6" s="34" t="s">
        <v>23</v>
      </c>
      <c r="H6" s="33" t="s">
        <v>6</v>
      </c>
      <c r="I6" s="111" t="s">
        <v>5</v>
      </c>
      <c r="J6" s="73" t="s">
        <v>4</v>
      </c>
      <c r="K6" s="73" t="s">
        <v>164</v>
      </c>
    </row>
    <row r="7" spans="2:11" ht="39.75" customHeight="1">
      <c r="B7" s="37">
        <v>1</v>
      </c>
      <c r="C7" s="144" t="s">
        <v>32</v>
      </c>
      <c r="D7" s="74">
        <v>90111100</v>
      </c>
      <c r="E7" s="118">
        <f>1499292.9/1000</f>
        <v>1499.2929</v>
      </c>
      <c r="F7" s="118">
        <f>115095365.54/1000000</f>
        <v>115.09536554</v>
      </c>
      <c r="G7" s="100">
        <v>1</v>
      </c>
      <c r="H7" s="92" t="s">
        <v>53</v>
      </c>
      <c r="I7" s="148">
        <v>76169100</v>
      </c>
      <c r="J7" s="182">
        <f>321117.52/1000</f>
        <v>321.11752</v>
      </c>
      <c r="K7" s="182">
        <f>2826740.9/1000000</f>
        <v>2.8267409</v>
      </c>
    </row>
    <row r="8" spans="2:13" ht="25.5" customHeight="1">
      <c r="B8" s="42">
        <v>2</v>
      </c>
      <c r="C8" s="105" t="s">
        <v>31</v>
      </c>
      <c r="D8" s="75">
        <v>94036090</v>
      </c>
      <c r="E8" s="119">
        <f>2108162/1000</f>
        <v>2108.162</v>
      </c>
      <c r="F8" s="119">
        <f>60072393.88/1000000</f>
        <v>60.07239388</v>
      </c>
      <c r="G8" s="97">
        <v>2</v>
      </c>
      <c r="H8" s="184" t="s">
        <v>29</v>
      </c>
      <c r="I8" s="76">
        <v>85185020</v>
      </c>
      <c r="J8" s="130">
        <f>270310/1000</f>
        <v>270.31</v>
      </c>
      <c r="K8" s="130">
        <f>2180341/1000000</f>
        <v>2.180341</v>
      </c>
      <c r="L8" s="88"/>
      <c r="M8" s="90"/>
    </row>
    <row r="9" spans="2:14" ht="25.5" customHeight="1">
      <c r="B9" s="42">
        <v>3</v>
      </c>
      <c r="C9" s="103" t="s">
        <v>34</v>
      </c>
      <c r="D9" s="78" t="s">
        <v>35</v>
      </c>
      <c r="E9" s="120">
        <f>23321.6/1000</f>
        <v>23.3216</v>
      </c>
      <c r="F9" s="120">
        <f>7736966.22/1000000</f>
        <v>7.736966219999999</v>
      </c>
      <c r="G9" s="97">
        <v>3</v>
      </c>
      <c r="H9" s="185" t="s">
        <v>28</v>
      </c>
      <c r="I9" s="76">
        <v>24031920</v>
      </c>
      <c r="J9" s="130">
        <f>157769.4/1000</f>
        <v>157.7694</v>
      </c>
      <c r="K9" s="130">
        <f>1852200/1000000</f>
        <v>1.8522</v>
      </c>
      <c r="L9" s="88"/>
      <c r="M9" s="88"/>
      <c r="N9" s="90"/>
    </row>
    <row r="10" spans="2:13" ht="25.5" customHeight="1">
      <c r="B10" s="42">
        <v>4</v>
      </c>
      <c r="C10" s="104" t="s">
        <v>39</v>
      </c>
      <c r="D10" s="79">
        <v>11081400</v>
      </c>
      <c r="E10" s="121">
        <f>226620/1000</f>
        <v>226.62</v>
      </c>
      <c r="F10" s="121">
        <f>2998250.57/1000000</f>
        <v>2.9982505699999997</v>
      </c>
      <c r="G10" s="97">
        <v>4</v>
      </c>
      <c r="H10" s="186" t="s">
        <v>37</v>
      </c>
      <c r="I10" s="149">
        <v>85366999</v>
      </c>
      <c r="J10" s="182">
        <f>75240/1000</f>
        <v>75.24</v>
      </c>
      <c r="K10" s="129">
        <f>1053600/1000000</f>
        <v>1.0536</v>
      </c>
      <c r="L10" s="88"/>
      <c r="M10" s="90"/>
    </row>
    <row r="11" spans="2:13" ht="25.5" customHeight="1">
      <c r="B11" s="42">
        <v>5</v>
      </c>
      <c r="C11" s="101" t="s">
        <v>11</v>
      </c>
      <c r="D11" s="80">
        <v>21011190</v>
      </c>
      <c r="E11" s="122">
        <f>12831.16/1000</f>
        <v>12.83116</v>
      </c>
      <c r="F11" s="122">
        <f>2042710.31/1000000</f>
        <v>2.04271031</v>
      </c>
      <c r="G11" s="97">
        <v>5</v>
      </c>
      <c r="H11" s="56" t="s">
        <v>89</v>
      </c>
      <c r="I11" s="76">
        <v>20081120</v>
      </c>
      <c r="J11" s="130">
        <f>177530/1000</f>
        <v>177.53</v>
      </c>
      <c r="K11" s="130">
        <f>830000/1000000</f>
        <v>0.83</v>
      </c>
      <c r="L11" s="88"/>
      <c r="M11" s="90"/>
    </row>
    <row r="12" spans="2:13" ht="25.5" customHeight="1">
      <c r="B12" s="42">
        <v>6</v>
      </c>
      <c r="C12" s="102" t="s">
        <v>42</v>
      </c>
      <c r="D12" s="77">
        <v>10063030</v>
      </c>
      <c r="E12" s="120">
        <f>44158.4/1000</f>
        <v>44.1584</v>
      </c>
      <c r="F12" s="120">
        <f>1122979.39/1000000</f>
        <v>1.1229793899999998</v>
      </c>
      <c r="G12" s="97">
        <v>6</v>
      </c>
      <c r="H12" s="45" t="s">
        <v>50</v>
      </c>
      <c r="I12" s="76">
        <v>11071000</v>
      </c>
      <c r="J12" s="182">
        <f>564740/1000</f>
        <v>564.74</v>
      </c>
      <c r="K12" s="182">
        <f>209315.23/1000000</f>
        <v>0.20931523000000002</v>
      </c>
      <c r="L12" s="140"/>
      <c r="M12" s="90"/>
    </row>
    <row r="13" spans="2:13" ht="25.5" customHeight="1">
      <c r="B13" s="42">
        <v>7</v>
      </c>
      <c r="C13" s="103" t="s">
        <v>46</v>
      </c>
      <c r="D13" s="81" t="s">
        <v>90</v>
      </c>
      <c r="E13" s="120">
        <f>2336.5/1000</f>
        <v>2.3365</v>
      </c>
      <c r="F13" s="120">
        <f>696514.78/1000000</f>
        <v>0.69651478</v>
      </c>
      <c r="G13" s="97">
        <v>7</v>
      </c>
      <c r="H13" s="145" t="s">
        <v>61</v>
      </c>
      <c r="I13" s="76">
        <v>40051090</v>
      </c>
      <c r="J13" s="130">
        <f>86511.04/1000</f>
        <v>86.51104</v>
      </c>
      <c r="K13" s="130">
        <f>205850.88/1000000</f>
        <v>0.20585088</v>
      </c>
      <c r="L13" s="88"/>
      <c r="M13" s="90"/>
    </row>
    <row r="14" spans="2:13" ht="25.5" customHeight="1">
      <c r="B14" s="42">
        <v>8</v>
      </c>
      <c r="C14" s="103" t="s">
        <v>43</v>
      </c>
      <c r="D14" s="80">
        <v>30049065</v>
      </c>
      <c r="E14" s="120">
        <f>8458.6/1000</f>
        <v>8.4586</v>
      </c>
      <c r="F14" s="120">
        <f>242630.3/1000000</f>
        <v>0.2426303</v>
      </c>
      <c r="G14" s="97">
        <v>8</v>
      </c>
      <c r="H14" s="45" t="s">
        <v>85</v>
      </c>
      <c r="I14" s="76">
        <v>73061990</v>
      </c>
      <c r="J14" s="130">
        <f>291900/1000</f>
        <v>291.9</v>
      </c>
      <c r="K14" s="130">
        <f>204330/1000000</f>
        <v>0.20433</v>
      </c>
      <c r="L14" s="88"/>
      <c r="M14" s="90"/>
    </row>
    <row r="15" spans="2:13" ht="25.5" customHeight="1">
      <c r="B15" s="42">
        <v>9</v>
      </c>
      <c r="C15" s="103" t="s">
        <v>47</v>
      </c>
      <c r="D15" s="81" t="s">
        <v>91</v>
      </c>
      <c r="E15" s="120">
        <f>20806/1000</f>
        <v>20.806</v>
      </c>
      <c r="F15" s="120">
        <f>156109.03/1000000</f>
        <v>0.15610903</v>
      </c>
      <c r="G15" s="97">
        <v>9</v>
      </c>
      <c r="H15" s="45" t="s">
        <v>84</v>
      </c>
      <c r="I15" s="76">
        <v>84211990</v>
      </c>
      <c r="J15" s="131">
        <f>2732.1/1000</f>
        <v>2.7321</v>
      </c>
      <c r="K15" s="131">
        <f>125500/1000000</f>
        <v>0.1255</v>
      </c>
      <c r="L15" s="137"/>
      <c r="M15" s="90"/>
    </row>
    <row r="16" spans="2:13" ht="25.5" customHeight="1">
      <c r="B16" s="42"/>
      <c r="C16" s="176"/>
      <c r="D16" s="176"/>
      <c r="E16" s="176"/>
      <c r="F16" s="176"/>
      <c r="G16" s="97">
        <v>10</v>
      </c>
      <c r="H16" s="45" t="s">
        <v>54</v>
      </c>
      <c r="I16" s="76">
        <v>85122091</v>
      </c>
      <c r="J16" s="131">
        <f>106830/1000</f>
        <v>106.83</v>
      </c>
      <c r="K16" s="131">
        <f>107848.6/1000000</f>
        <v>0.1078486</v>
      </c>
      <c r="L16" s="88"/>
      <c r="M16" s="90"/>
    </row>
    <row r="17" spans="1:16" ht="25.5" customHeight="1" thickBot="1">
      <c r="A17" s="90"/>
      <c r="B17" s="193"/>
      <c r="C17" s="48"/>
      <c r="D17" s="99"/>
      <c r="E17" s="177"/>
      <c r="F17" s="177"/>
      <c r="G17" s="108"/>
      <c r="H17" s="93"/>
      <c r="I17" s="106"/>
      <c r="J17" s="147"/>
      <c r="K17" s="147"/>
      <c r="L17" s="90"/>
      <c r="M17" s="90"/>
      <c r="N17" s="90"/>
      <c r="O17" s="90"/>
      <c r="P17" s="90"/>
    </row>
    <row r="18" spans="1:16" ht="25.5" customHeight="1" thickBot="1">
      <c r="A18" s="115"/>
      <c r="B18" s="194"/>
      <c r="C18" s="372" t="s">
        <v>24</v>
      </c>
      <c r="D18" s="373"/>
      <c r="E18" s="123">
        <f>SUM(E7:E17)</f>
        <v>3945.9871599999997</v>
      </c>
      <c r="F18" s="124">
        <f>SUM(F7:F17)</f>
        <v>190.16392002000003</v>
      </c>
      <c r="G18" s="195"/>
      <c r="H18" s="371" t="s">
        <v>25</v>
      </c>
      <c r="I18" s="371"/>
      <c r="J18" s="181">
        <f>SUM(J7:J17)</f>
        <v>2054.68006</v>
      </c>
      <c r="K18" s="141">
        <f>SUM(K7:K17)</f>
        <v>9.59572661</v>
      </c>
      <c r="N18" s="90"/>
      <c r="O18" s="90"/>
      <c r="P18" s="90"/>
    </row>
    <row r="19" spans="1:16" ht="25.5" customHeight="1" thickBot="1">
      <c r="A19" s="116"/>
      <c r="B19" s="368" t="s">
        <v>1</v>
      </c>
      <c r="C19" s="369"/>
      <c r="D19" s="98"/>
      <c r="E19" s="125">
        <v>58544.00000000093</v>
      </c>
      <c r="F19" s="126">
        <v>1.0595383000001013</v>
      </c>
      <c r="G19" s="196"/>
      <c r="H19" s="107" t="s">
        <v>1</v>
      </c>
      <c r="I19" s="98"/>
      <c r="J19" s="126">
        <v>1282.2619399999999</v>
      </c>
      <c r="K19" s="142">
        <v>0.7021640299999975</v>
      </c>
      <c r="L19" s="96"/>
      <c r="N19" s="90"/>
      <c r="O19" s="90"/>
      <c r="P19" s="90"/>
    </row>
    <row r="20" spans="1:16" ht="25.5" customHeight="1" thickBot="1">
      <c r="A20" s="117"/>
      <c r="B20" s="192" t="s">
        <v>36</v>
      </c>
      <c r="C20" s="191"/>
      <c r="D20" s="94"/>
      <c r="E20" s="127">
        <v>4004.531</v>
      </c>
      <c r="F20" s="128">
        <v>191.2234583200001</v>
      </c>
      <c r="G20" s="197"/>
      <c r="H20" s="49" t="s">
        <v>10</v>
      </c>
      <c r="I20" s="94"/>
      <c r="J20" s="133">
        <v>3336.942</v>
      </c>
      <c r="K20" s="128">
        <v>10.297890639999999</v>
      </c>
      <c r="N20" s="248"/>
      <c r="O20" s="248"/>
      <c r="P20" s="248"/>
    </row>
    <row r="21" spans="1:16" ht="21">
      <c r="A21" s="367" t="s">
        <v>93</v>
      </c>
      <c r="B21" s="367"/>
      <c r="C21" s="367"/>
      <c r="D21" s="367"/>
      <c r="E21" s="367"/>
      <c r="F21" s="112"/>
      <c r="G21" s="96" t="s">
        <v>163</v>
      </c>
      <c r="H21" s="96"/>
      <c r="I21" s="96"/>
      <c r="J21" s="96"/>
      <c r="K21" s="146"/>
      <c r="N21" s="90"/>
      <c r="O21" s="90"/>
      <c r="P21" s="90"/>
    </row>
    <row r="22" spans="5:11" ht="14.25">
      <c r="E22" s="132"/>
      <c r="F22" s="132"/>
      <c r="K22" s="132"/>
    </row>
    <row r="23" spans="5:11" ht="14.25">
      <c r="E23" s="132"/>
      <c r="F23" s="132"/>
      <c r="I23" s="132"/>
      <c r="J23" s="132"/>
      <c r="K23" s="132"/>
    </row>
    <row r="24" ht="14.25">
      <c r="E24" s="132"/>
    </row>
    <row r="25" spans="5:10" ht="21">
      <c r="E25" s="132"/>
      <c r="F25" s="132"/>
      <c r="J25" s="143"/>
    </row>
    <row r="26" spans="5:10" ht="21">
      <c r="E26" s="109"/>
      <c r="F26" s="109"/>
      <c r="J26" s="90"/>
    </row>
    <row r="27" ht="14.25">
      <c r="H27" s="90"/>
    </row>
    <row r="28" spans="6:8" ht="14.25">
      <c r="F28" s="139"/>
      <c r="H28" s="90"/>
    </row>
    <row r="29" spans="4:8" ht="21">
      <c r="D29" s="175"/>
      <c r="F29" s="132"/>
      <c r="H29" s="138"/>
    </row>
    <row r="30" spans="8:11" ht="21">
      <c r="H30" s="91"/>
      <c r="K30" s="139"/>
    </row>
    <row r="31" ht="14.25">
      <c r="H31" s="90"/>
    </row>
    <row r="32" ht="14.25">
      <c r="H32" s="90"/>
    </row>
    <row r="33" spans="8:9" ht="21">
      <c r="H33" s="90"/>
      <c r="I33" s="134"/>
    </row>
    <row r="34" spans="8:9" ht="21">
      <c r="H34" s="90"/>
      <c r="I34" s="134"/>
    </row>
    <row r="35" spans="8:9" ht="21">
      <c r="H35" s="134"/>
      <c r="I35" s="135"/>
    </row>
    <row r="36" spans="8:9" ht="21">
      <c r="H36" s="134"/>
      <c r="I36" s="135"/>
    </row>
    <row r="37" spans="8:9" ht="21">
      <c r="H37" s="135"/>
      <c r="I37" s="136"/>
    </row>
    <row r="38" spans="8:9" ht="21">
      <c r="H38" s="135"/>
      <c r="I38" s="137"/>
    </row>
    <row r="39" spans="8:9" ht="21">
      <c r="H39" s="136"/>
      <c r="I39" s="90"/>
    </row>
    <row r="40" ht="14.25">
      <c r="H40" s="132"/>
    </row>
  </sheetData>
  <sheetProtection/>
  <mergeCells count="8">
    <mergeCell ref="A21:E21"/>
    <mergeCell ref="B19:C19"/>
    <mergeCell ref="A1:L1"/>
    <mergeCell ref="A2:L2"/>
    <mergeCell ref="A3:L3"/>
    <mergeCell ref="C5:G5"/>
    <mergeCell ref="H18:I18"/>
    <mergeCell ref="C18:D18"/>
  </mergeCells>
  <printOptions/>
  <pageMargins left="0.16" right="0" top="0" bottom="0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JIRAPORN JAIKEAW</dc:creator>
  <cp:keywords/>
  <dc:description/>
  <cp:lastModifiedBy>Ratchanee Meesanam</cp:lastModifiedBy>
  <cp:lastPrinted>2018-03-21T08:02:43Z</cp:lastPrinted>
  <dcterms:created xsi:type="dcterms:W3CDTF">2016-11-08T04:22:12Z</dcterms:created>
  <dcterms:modified xsi:type="dcterms:W3CDTF">2018-03-23T02:06:23Z</dcterms:modified>
  <cp:category/>
  <cp:version/>
  <cp:contentType/>
  <cp:contentStatus/>
</cp:coreProperties>
</file>